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570" yWindow="345" windowWidth="15480" windowHeight="8010" firstSheet="2" activeTab="2"/>
  </bookViews>
  <sheets>
    <sheet name="Лист2" sheetId="7" state="hidden" r:id="rId1"/>
    <sheet name="Лист3" sheetId="8" state="hidden" r:id="rId2"/>
    <sheet name="медикаменты год план  2015 год" sheetId="9" r:id="rId3"/>
  </sheets>
  <calcPr calcId="145621"/>
</workbook>
</file>

<file path=xl/calcChain.xml><?xml version="1.0" encoding="utf-8"?>
<calcChain xmlns="http://schemas.openxmlformats.org/spreadsheetml/2006/main">
  <c r="H721" i="9" l="1"/>
  <c r="I721" i="9"/>
  <c r="H720" i="9"/>
  <c r="I720" i="9"/>
  <c r="H719" i="9"/>
  <c r="I719" i="9"/>
  <c r="H718" i="9"/>
  <c r="I718" i="9"/>
  <c r="H717" i="9"/>
  <c r="I717" i="9"/>
  <c r="H716" i="9"/>
  <c r="I716" i="9"/>
  <c r="H715" i="9"/>
  <c r="I715" i="9"/>
  <c r="H714" i="9"/>
  <c r="I714" i="9"/>
  <c r="H713" i="9"/>
  <c r="I713" i="9"/>
  <c r="H712" i="9"/>
  <c r="I712" i="9"/>
  <c r="H711" i="9"/>
  <c r="I711" i="9"/>
  <c r="H710" i="9"/>
  <c r="I710" i="9"/>
  <c r="H709" i="9"/>
  <c r="I709" i="9"/>
  <c r="H708" i="9"/>
  <c r="I708" i="9"/>
  <c r="H707" i="9"/>
  <c r="I707" i="9"/>
  <c r="H706" i="9"/>
  <c r="I706" i="9"/>
  <c r="H705" i="9"/>
  <c r="I705" i="9"/>
  <c r="H704" i="9"/>
  <c r="I704" i="9"/>
  <c r="H703" i="9"/>
  <c r="I703" i="9"/>
  <c r="H702" i="9"/>
  <c r="I702" i="9"/>
  <c r="H701" i="9"/>
  <c r="I701" i="9"/>
  <c r="H700" i="9"/>
  <c r="I700" i="9"/>
  <c r="H699" i="9"/>
  <c r="I699" i="9"/>
  <c r="H698" i="9"/>
  <c r="I698" i="9"/>
  <c r="H697" i="9"/>
  <c r="I697" i="9"/>
  <c r="H696" i="9"/>
  <c r="I696" i="9"/>
  <c r="H695" i="9"/>
  <c r="I695" i="9"/>
  <c r="H694" i="9"/>
  <c r="I694" i="9"/>
  <c r="H693" i="9"/>
  <c r="I693" i="9"/>
  <c r="H692" i="9"/>
  <c r="I692" i="9"/>
  <c r="H691" i="9"/>
  <c r="I691" i="9"/>
  <c r="H690" i="9"/>
  <c r="I690" i="9"/>
  <c r="H689" i="9"/>
  <c r="I689" i="9"/>
  <c r="H688" i="9"/>
  <c r="I688" i="9"/>
  <c r="H687" i="9"/>
  <c r="I687" i="9"/>
  <c r="H686" i="9"/>
  <c r="I686" i="9"/>
  <c r="H685" i="9"/>
  <c r="I685" i="9"/>
  <c r="H684" i="9"/>
  <c r="I684" i="9"/>
  <c r="H683" i="9"/>
  <c r="I683" i="9"/>
  <c r="H682" i="9"/>
  <c r="I682" i="9"/>
  <c r="H681" i="9"/>
  <c r="I681" i="9"/>
  <c r="H680" i="9"/>
  <c r="I680" i="9"/>
  <c r="H679" i="9"/>
  <c r="I679" i="9"/>
  <c r="H678" i="9"/>
  <c r="I678" i="9"/>
  <c r="H677" i="9"/>
  <c r="I677" i="9"/>
  <c r="H676" i="9"/>
  <c r="I676" i="9"/>
  <c r="H675" i="9"/>
  <c r="I675" i="9"/>
  <c r="H674" i="9"/>
  <c r="I674" i="9"/>
  <c r="H673" i="9"/>
  <c r="I673" i="9"/>
  <c r="H672" i="9"/>
  <c r="I672" i="9"/>
  <c r="H671" i="9"/>
  <c r="I671" i="9"/>
  <c r="H670" i="9"/>
  <c r="I670" i="9"/>
  <c r="I669" i="9"/>
  <c r="I668" i="9"/>
  <c r="I667" i="9"/>
  <c r="H666" i="9"/>
  <c r="I666" i="9"/>
  <c r="H665" i="9"/>
  <c r="I665" i="9"/>
  <c r="H664" i="9"/>
  <c r="I664" i="9"/>
  <c r="I663" i="9"/>
  <c r="H662" i="9"/>
  <c r="I662" i="9"/>
  <c r="I661" i="9"/>
  <c r="I660" i="9"/>
  <c r="I659" i="9"/>
  <c r="I658" i="9"/>
  <c r="I657" i="9"/>
  <c r="I656" i="9"/>
  <c r="I655" i="9"/>
  <c r="I654" i="9"/>
  <c r="I653" i="9"/>
  <c r="I652" i="9"/>
  <c r="I651" i="9"/>
  <c r="I650" i="9"/>
  <c r="I649" i="9"/>
  <c r="I648" i="9"/>
  <c r="I647" i="9"/>
  <c r="I646" i="9"/>
  <c r="I645" i="9"/>
  <c r="I644" i="9"/>
  <c r="I643" i="9"/>
  <c r="I642" i="9"/>
  <c r="H641" i="9"/>
  <c r="I641" i="9"/>
  <c r="H640" i="9"/>
  <c r="I640" i="9"/>
  <c r="H639" i="9"/>
  <c r="I639" i="9"/>
  <c r="H638" i="9"/>
  <c r="I638" i="9"/>
  <c r="H637" i="9"/>
  <c r="I637" i="9"/>
  <c r="H636" i="9"/>
  <c r="I636" i="9"/>
  <c r="H635" i="9"/>
  <c r="I635" i="9"/>
  <c r="H634" i="9"/>
  <c r="I634" i="9"/>
  <c r="H633" i="9"/>
  <c r="I633" i="9"/>
  <c r="H632" i="9"/>
  <c r="I632" i="9"/>
  <c r="H631" i="9"/>
  <c r="I631" i="9"/>
  <c r="H630" i="9"/>
  <c r="I630" i="9"/>
  <c r="H629" i="9"/>
  <c r="I629" i="9"/>
  <c r="H628" i="9"/>
  <c r="I628" i="9"/>
  <c r="H627" i="9"/>
  <c r="I627" i="9"/>
  <c r="H626" i="9"/>
  <c r="I626" i="9"/>
  <c r="H625" i="9"/>
  <c r="I625" i="9"/>
  <c r="H624" i="9"/>
  <c r="I624" i="9"/>
  <c r="H623" i="9"/>
  <c r="I623" i="9"/>
  <c r="H622" i="9"/>
  <c r="I622" i="9"/>
  <c r="H621" i="9"/>
  <c r="I621" i="9"/>
  <c r="H620" i="9"/>
  <c r="I620" i="9"/>
  <c r="H619" i="9"/>
  <c r="I619" i="9"/>
  <c r="H618" i="9"/>
  <c r="I618" i="9"/>
  <c r="H617" i="9"/>
  <c r="I617" i="9"/>
  <c r="H616" i="9"/>
  <c r="I616" i="9"/>
  <c r="H615" i="9"/>
  <c r="I615" i="9"/>
  <c r="H614" i="9"/>
  <c r="I614" i="9"/>
  <c r="H613" i="9"/>
  <c r="I613" i="9"/>
  <c r="H612" i="9"/>
  <c r="I612" i="9"/>
  <c r="H611" i="9"/>
  <c r="I611" i="9"/>
  <c r="H610" i="9"/>
  <c r="I610" i="9"/>
  <c r="H609" i="9"/>
  <c r="I609" i="9"/>
  <c r="H608" i="9"/>
  <c r="I608" i="9"/>
  <c r="H607" i="9"/>
  <c r="I607" i="9"/>
  <c r="H606" i="9"/>
  <c r="I606" i="9"/>
  <c r="H605" i="9"/>
  <c r="I605" i="9"/>
  <c r="H604" i="9"/>
  <c r="I604" i="9"/>
  <c r="H603" i="9"/>
  <c r="I603" i="9"/>
  <c r="H602" i="9"/>
  <c r="I602" i="9"/>
  <c r="H601" i="9"/>
  <c r="I601" i="9"/>
  <c r="H600" i="9"/>
  <c r="I600" i="9"/>
  <c r="H599" i="9"/>
  <c r="I599" i="9"/>
  <c r="H598" i="9"/>
  <c r="I598" i="9"/>
  <c r="H597" i="9"/>
  <c r="I597" i="9"/>
  <c r="H596" i="9"/>
  <c r="I596" i="9"/>
  <c r="H595" i="9"/>
  <c r="I595" i="9"/>
  <c r="H594" i="9"/>
  <c r="I594" i="9"/>
  <c r="H593" i="9"/>
  <c r="I593" i="9"/>
  <c r="H592" i="9"/>
  <c r="I592" i="9"/>
  <c r="H591" i="9"/>
  <c r="I591" i="9"/>
  <c r="H590" i="9"/>
  <c r="I590" i="9"/>
  <c r="H589" i="9"/>
  <c r="I589" i="9"/>
  <c r="H588" i="9"/>
  <c r="I588" i="9"/>
  <c r="H587" i="9"/>
  <c r="I587" i="9"/>
  <c r="H586" i="9"/>
  <c r="I586" i="9"/>
  <c r="H585" i="9"/>
  <c r="I585" i="9"/>
  <c r="H584" i="9"/>
  <c r="I584" i="9"/>
  <c r="H583" i="9"/>
  <c r="I583" i="9"/>
  <c r="H582" i="9"/>
  <c r="I582" i="9"/>
  <c r="H581" i="9"/>
  <c r="I581" i="9"/>
  <c r="H580" i="9"/>
  <c r="I580" i="9"/>
  <c r="H579" i="9"/>
  <c r="I579" i="9"/>
  <c r="H578" i="9"/>
  <c r="I578" i="9"/>
  <c r="H577" i="9"/>
  <c r="I577" i="9"/>
  <c r="H576" i="9"/>
  <c r="I576" i="9"/>
  <c r="H575" i="9"/>
  <c r="I575" i="9"/>
  <c r="H574" i="9"/>
  <c r="I574" i="9"/>
  <c r="H573" i="9"/>
  <c r="I573" i="9"/>
  <c r="H572" i="9"/>
  <c r="I572" i="9"/>
  <c r="H571" i="9"/>
  <c r="I571" i="9"/>
  <c r="H570" i="9"/>
  <c r="I570" i="9"/>
  <c r="H569" i="9"/>
  <c r="I569" i="9"/>
  <c r="H568" i="9"/>
  <c r="I568" i="9"/>
  <c r="H567" i="9"/>
  <c r="I567" i="9"/>
  <c r="H566" i="9"/>
  <c r="I566" i="9"/>
  <c r="H565" i="9"/>
  <c r="I565" i="9"/>
  <c r="H564" i="9"/>
  <c r="I564" i="9"/>
  <c r="H563" i="9"/>
  <c r="I563" i="9"/>
  <c r="H562" i="9"/>
  <c r="I562" i="9"/>
  <c r="H561" i="9"/>
  <c r="I561" i="9"/>
  <c r="H560" i="9"/>
  <c r="I560" i="9"/>
  <c r="H559" i="9"/>
  <c r="I559" i="9"/>
  <c r="H558" i="9"/>
  <c r="I558" i="9"/>
  <c r="H557" i="9"/>
  <c r="I557" i="9"/>
  <c r="H556" i="9"/>
  <c r="I556" i="9"/>
  <c r="H555" i="9"/>
  <c r="I555" i="9"/>
  <c r="H554" i="9"/>
  <c r="I554" i="9"/>
  <c r="H553" i="9"/>
  <c r="I553" i="9"/>
  <c r="H552" i="9"/>
  <c r="I552" i="9"/>
  <c r="H551" i="9"/>
  <c r="I551" i="9"/>
  <c r="H550" i="9"/>
  <c r="I550" i="9"/>
  <c r="H549" i="9"/>
  <c r="I549" i="9"/>
  <c r="H548" i="9"/>
  <c r="I548" i="9"/>
  <c r="H547" i="9"/>
  <c r="I547" i="9"/>
  <c r="H546" i="9"/>
  <c r="I546" i="9"/>
  <c r="H545" i="9"/>
  <c r="I545" i="9"/>
  <c r="H544" i="9"/>
  <c r="I544" i="9"/>
  <c r="H543" i="9"/>
  <c r="I543" i="9"/>
  <c r="H542" i="9"/>
  <c r="I542" i="9"/>
  <c r="I541" i="9"/>
  <c r="H540" i="9"/>
  <c r="I540" i="9"/>
  <c r="H539" i="9"/>
  <c r="I539" i="9"/>
  <c r="H538" i="9"/>
  <c r="I538" i="9"/>
  <c r="H537" i="9"/>
  <c r="I537" i="9"/>
  <c r="H536" i="9"/>
  <c r="I536" i="9"/>
  <c r="H535" i="9"/>
  <c r="I535" i="9"/>
  <c r="H534" i="9"/>
  <c r="I534" i="9"/>
  <c r="H533" i="9"/>
  <c r="I533" i="9"/>
  <c r="H532" i="9"/>
  <c r="I532" i="9"/>
  <c r="H531" i="9"/>
  <c r="I531" i="9"/>
  <c r="H530" i="9"/>
  <c r="I530" i="9"/>
  <c r="H529" i="9"/>
  <c r="I529" i="9"/>
  <c r="H528" i="9"/>
  <c r="I528" i="9"/>
  <c r="H527" i="9"/>
  <c r="I527" i="9"/>
  <c r="H526" i="9"/>
  <c r="I526" i="9"/>
  <c r="H525" i="9"/>
  <c r="I525" i="9"/>
  <c r="H524" i="9"/>
  <c r="I524" i="9"/>
  <c r="H523" i="9"/>
  <c r="I523" i="9"/>
  <c r="H522" i="9"/>
  <c r="I522" i="9"/>
  <c r="H521" i="9"/>
  <c r="I521" i="9"/>
  <c r="H520" i="9"/>
  <c r="I520" i="9"/>
  <c r="H519" i="9"/>
  <c r="I519" i="9"/>
  <c r="H518" i="9"/>
  <c r="I518" i="9"/>
  <c r="H517" i="9"/>
  <c r="I517" i="9"/>
  <c r="H516" i="9"/>
  <c r="I516" i="9"/>
  <c r="H515" i="9"/>
  <c r="I515" i="9"/>
  <c r="H514" i="9"/>
  <c r="I514" i="9"/>
  <c r="H513" i="9"/>
  <c r="I513" i="9"/>
  <c r="H512" i="9"/>
  <c r="I512" i="9"/>
  <c r="H511" i="9"/>
  <c r="I511" i="9"/>
  <c r="H510" i="9"/>
  <c r="I510" i="9"/>
  <c r="H509" i="9"/>
  <c r="I509" i="9"/>
  <c r="H508" i="9"/>
  <c r="I508" i="9"/>
  <c r="H507" i="9"/>
  <c r="I507" i="9"/>
  <c r="H506" i="9"/>
  <c r="I506" i="9"/>
  <c r="H505" i="9"/>
  <c r="I505" i="9"/>
  <c r="H504" i="9"/>
  <c r="I504" i="9"/>
  <c r="H503" i="9"/>
  <c r="I503" i="9"/>
  <c r="H502" i="9"/>
  <c r="I502" i="9"/>
  <c r="H501" i="9"/>
  <c r="I501" i="9"/>
  <c r="H500" i="9"/>
  <c r="I500" i="9"/>
  <c r="H499" i="9"/>
  <c r="I499" i="9"/>
  <c r="H498" i="9"/>
  <c r="I498" i="9"/>
  <c r="H497" i="9"/>
  <c r="I497" i="9"/>
  <c r="H496" i="9"/>
  <c r="I496" i="9"/>
  <c r="H495" i="9"/>
  <c r="I495" i="9"/>
  <c r="H494" i="9"/>
  <c r="I494" i="9"/>
  <c r="H493" i="9"/>
  <c r="I493" i="9"/>
  <c r="H492" i="9"/>
  <c r="I492" i="9"/>
  <c r="H491" i="9"/>
  <c r="I491" i="9"/>
  <c r="H490" i="9"/>
  <c r="I490" i="9"/>
  <c r="H489" i="9"/>
  <c r="I489" i="9"/>
  <c r="H488" i="9"/>
  <c r="I488" i="9"/>
  <c r="H487" i="9"/>
  <c r="I487" i="9"/>
  <c r="H486" i="9"/>
  <c r="I486" i="9"/>
  <c r="H485" i="9"/>
  <c r="I485" i="9"/>
  <c r="H484" i="9"/>
  <c r="I484" i="9"/>
  <c r="H483" i="9"/>
  <c r="I483" i="9"/>
  <c r="H482" i="9"/>
  <c r="I482" i="9"/>
  <c r="H481" i="9"/>
  <c r="I481" i="9"/>
  <c r="H480" i="9"/>
  <c r="I480" i="9"/>
  <c r="H479" i="9"/>
  <c r="I479" i="9"/>
  <c r="H478" i="9"/>
  <c r="I478" i="9"/>
  <c r="H477" i="9"/>
  <c r="I477" i="9"/>
  <c r="H476" i="9"/>
  <c r="I476" i="9"/>
  <c r="H475" i="9"/>
  <c r="I475" i="9"/>
  <c r="H474" i="9"/>
  <c r="I474" i="9"/>
  <c r="H473" i="9"/>
  <c r="I473" i="9"/>
  <c r="H472" i="9"/>
  <c r="I472" i="9"/>
  <c r="H471" i="9"/>
  <c r="I471" i="9"/>
  <c r="H470" i="9"/>
  <c r="I470" i="9"/>
  <c r="H469" i="9"/>
  <c r="I469" i="9"/>
  <c r="H468" i="9"/>
  <c r="I468" i="9"/>
  <c r="H467" i="9"/>
  <c r="I467" i="9"/>
  <c r="H466" i="9"/>
  <c r="I466" i="9"/>
  <c r="H465" i="9"/>
  <c r="I465" i="9"/>
  <c r="H464" i="9"/>
  <c r="I464" i="9"/>
  <c r="H463" i="9"/>
  <c r="I463" i="9"/>
  <c r="H462" i="9"/>
  <c r="I462" i="9"/>
  <c r="H461" i="9"/>
  <c r="I461" i="9"/>
  <c r="H460" i="9"/>
  <c r="I460" i="9"/>
  <c r="H459" i="9"/>
  <c r="I459" i="9"/>
  <c r="H458" i="9"/>
  <c r="I458" i="9"/>
  <c r="H457" i="9"/>
  <c r="I457" i="9"/>
  <c r="H456" i="9"/>
  <c r="I456" i="9"/>
  <c r="H455" i="9"/>
  <c r="I455" i="9"/>
  <c r="H454" i="9"/>
  <c r="I454" i="9"/>
  <c r="H453" i="9"/>
  <c r="I453" i="9"/>
  <c r="I452" i="9"/>
  <c r="I451" i="9"/>
  <c r="H450" i="9"/>
  <c r="I450" i="9"/>
  <c r="H449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H430" i="9"/>
  <c r="I430" i="9"/>
  <c r="H429" i="9"/>
  <c r="I429" i="9"/>
  <c r="H428" i="9"/>
  <c r="I428" i="9"/>
  <c r="H427" i="9"/>
  <c r="I427" i="9"/>
  <c r="H426" i="9"/>
  <c r="I426" i="9"/>
  <c r="H425" i="9"/>
  <c r="I425" i="9"/>
  <c r="H424" i="9"/>
  <c r="I424" i="9"/>
  <c r="H423" i="9"/>
  <c r="I423" i="9"/>
  <c r="H422" i="9"/>
  <c r="I422" i="9"/>
  <c r="H421" i="9"/>
  <c r="I421" i="9"/>
  <c r="H420" i="9"/>
  <c r="I420" i="9"/>
  <c r="H419" i="9"/>
  <c r="I419" i="9"/>
  <c r="H418" i="9"/>
  <c r="I418" i="9"/>
  <c r="H417" i="9"/>
  <c r="I417" i="9"/>
  <c r="H416" i="9"/>
  <c r="I416" i="9"/>
  <c r="H415" i="9"/>
  <c r="I415" i="9"/>
  <c r="H414" i="9"/>
  <c r="I414" i="9"/>
  <c r="H413" i="9"/>
  <c r="I413" i="9"/>
  <c r="H412" i="9"/>
  <c r="I412" i="9"/>
  <c r="H411" i="9"/>
  <c r="I411" i="9"/>
  <c r="H410" i="9"/>
  <c r="I410" i="9"/>
  <c r="H409" i="9"/>
  <c r="I409" i="9"/>
  <c r="H408" i="9"/>
  <c r="I408" i="9"/>
  <c r="H407" i="9"/>
  <c r="I407" i="9"/>
  <c r="H406" i="9"/>
  <c r="I406" i="9"/>
  <c r="H405" i="9"/>
  <c r="I405" i="9"/>
  <c r="H404" i="9"/>
  <c r="I404" i="9"/>
  <c r="H403" i="9"/>
  <c r="I403" i="9"/>
  <c r="H402" i="9"/>
  <c r="I402" i="9"/>
  <c r="H401" i="9"/>
  <c r="I401" i="9"/>
  <c r="H400" i="9"/>
  <c r="I400" i="9"/>
  <c r="H399" i="9"/>
  <c r="I399" i="9"/>
  <c r="H398" i="9"/>
  <c r="I398" i="9"/>
  <c r="H397" i="9"/>
  <c r="I397" i="9"/>
  <c r="H396" i="9"/>
  <c r="I396" i="9"/>
  <c r="H395" i="9"/>
  <c r="I395" i="9"/>
  <c r="H394" i="9"/>
  <c r="I394" i="9"/>
  <c r="I393" i="9"/>
  <c r="I392" i="9"/>
  <c r="I391" i="9"/>
  <c r="H390" i="9"/>
  <c r="I390" i="9"/>
  <c r="I389" i="9"/>
  <c r="I388" i="9"/>
  <c r="H387" i="9"/>
  <c r="I387" i="9"/>
  <c r="H386" i="9"/>
  <c r="I386" i="9"/>
  <c r="H385" i="9"/>
  <c r="I385" i="9"/>
  <c r="I384" i="9"/>
  <c r="I383" i="9"/>
  <c r="I382" i="9"/>
  <c r="I381" i="9"/>
  <c r="I380" i="9"/>
  <c r="I379" i="9"/>
  <c r="I378" i="9"/>
  <c r="I377" i="9"/>
  <c r="I376" i="9"/>
  <c r="I375" i="9"/>
  <c r="I374" i="9"/>
  <c r="I373" i="9"/>
  <c r="I372" i="9"/>
  <c r="I371" i="9"/>
  <c r="I370" i="9"/>
  <c r="I369" i="9"/>
  <c r="I368" i="9"/>
  <c r="I367" i="9"/>
  <c r="I366" i="9"/>
  <c r="I365" i="9"/>
  <c r="I364" i="9"/>
  <c r="I363" i="9"/>
  <c r="I362" i="9"/>
  <c r="I361" i="9"/>
  <c r="I360" i="9"/>
  <c r="I359" i="9"/>
  <c r="I358" i="9"/>
  <c r="I357" i="9"/>
  <c r="I356" i="9"/>
  <c r="H355" i="9"/>
  <c r="I355" i="9"/>
  <c r="H354" i="9"/>
  <c r="I354" i="9"/>
  <c r="H353" i="9"/>
  <c r="I353" i="9"/>
  <c r="H352" i="9"/>
  <c r="I352" i="9"/>
  <c r="H351" i="9"/>
  <c r="I351" i="9"/>
  <c r="H350" i="9"/>
  <c r="I350" i="9"/>
  <c r="I349" i="9"/>
  <c r="H348" i="9"/>
  <c r="I348" i="9"/>
  <c r="H347" i="9"/>
  <c r="I347" i="9"/>
  <c r="H346" i="9"/>
  <c r="I346" i="9"/>
  <c r="H345" i="9"/>
  <c r="I345" i="9"/>
  <c r="H344" i="9"/>
  <c r="I344" i="9"/>
  <c r="I343" i="9"/>
  <c r="I342" i="9"/>
  <c r="H341" i="9"/>
  <c r="I341" i="9"/>
  <c r="I340" i="9"/>
  <c r="I339" i="9"/>
  <c r="I338" i="9"/>
  <c r="I337" i="9"/>
  <c r="I336" i="9"/>
  <c r="I335" i="9"/>
  <c r="H334" i="9"/>
  <c r="I334" i="9"/>
  <c r="H333" i="9"/>
  <c r="I333" i="9"/>
  <c r="I332" i="9"/>
  <c r="I331" i="9"/>
  <c r="H330" i="9"/>
  <c r="I330" i="9"/>
  <c r="H329" i="9"/>
  <c r="I329" i="9"/>
  <c r="H328" i="9"/>
  <c r="I328" i="9"/>
  <c r="H327" i="9"/>
  <c r="I327" i="9"/>
  <c r="H326" i="9"/>
  <c r="I326" i="9"/>
  <c r="H325" i="9"/>
  <c r="I325" i="9"/>
  <c r="H324" i="9"/>
  <c r="I324" i="9"/>
  <c r="H323" i="9"/>
  <c r="I323" i="9"/>
  <c r="H322" i="9"/>
  <c r="I322" i="9"/>
  <c r="H321" i="9"/>
  <c r="I321" i="9"/>
  <c r="H320" i="9"/>
  <c r="I320" i="9"/>
  <c r="H319" i="9"/>
  <c r="I319" i="9"/>
  <c r="H318" i="9"/>
  <c r="I318" i="9"/>
  <c r="H317" i="9"/>
  <c r="I317" i="9"/>
  <c r="I316" i="9"/>
  <c r="H315" i="9"/>
  <c r="I315" i="9"/>
  <c r="H314" i="9"/>
  <c r="I314" i="9"/>
  <c r="H313" i="9"/>
  <c r="I313" i="9"/>
  <c r="H312" i="9"/>
  <c r="I312" i="9"/>
  <c r="H311" i="9"/>
  <c r="I311" i="9"/>
  <c r="I310" i="9"/>
  <c r="H309" i="9"/>
  <c r="I309" i="9"/>
  <c r="I308" i="9"/>
  <c r="H307" i="9"/>
  <c r="I307" i="9"/>
  <c r="I306" i="9"/>
  <c r="I305" i="9"/>
  <c r="H304" i="9"/>
  <c r="I304" i="9"/>
  <c r="I303" i="9"/>
  <c r="I302" i="9"/>
  <c r="I301" i="9"/>
  <c r="H300" i="9"/>
  <c r="I300" i="9"/>
  <c r="I299" i="9"/>
  <c r="H298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H264" i="9"/>
  <c r="I264" i="9"/>
  <c r="I263" i="9"/>
  <c r="I262" i="9"/>
  <c r="I261" i="9"/>
  <c r="I260" i="9"/>
  <c r="I259" i="9"/>
  <c r="I258" i="9"/>
  <c r="H257" i="9"/>
  <c r="I257" i="9"/>
  <c r="H256" i="9"/>
  <c r="I256" i="9"/>
  <c r="I255" i="9"/>
  <c r="I254" i="9"/>
  <c r="I253" i="9"/>
  <c r="I252" i="9"/>
  <c r="I251" i="9"/>
  <c r="I250" i="9"/>
  <c r="I249" i="9"/>
  <c r="I248" i="9"/>
  <c r="I247" i="9"/>
  <c r="H246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H210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H197" i="9"/>
  <c r="I197" i="9"/>
  <c r="I196" i="9"/>
  <c r="I195" i="9"/>
  <c r="I194" i="9"/>
  <c r="I193" i="9"/>
  <c r="I192" i="9"/>
  <c r="I191" i="9"/>
  <c r="H190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H175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H160" i="9"/>
  <c r="I160" i="9"/>
  <c r="H159" i="9"/>
  <c r="I159" i="9"/>
  <c r="I158" i="9"/>
  <c r="I157" i="9"/>
  <c r="I156" i="9"/>
  <c r="I155" i="9"/>
  <c r="I154" i="9"/>
  <c r="H153" i="9"/>
  <c r="I153" i="9"/>
  <c r="H152" i="9"/>
  <c r="I152" i="9"/>
  <c r="I151" i="9"/>
  <c r="I150" i="9"/>
  <c r="I149" i="9"/>
  <c r="I148" i="9"/>
  <c r="I147" i="9"/>
  <c r="I146" i="9"/>
  <c r="H145" i="9"/>
  <c r="I145" i="9"/>
  <c r="I144" i="9"/>
  <c r="I143" i="9"/>
  <c r="I142" i="9"/>
  <c r="I141" i="9"/>
  <c r="H140" i="9"/>
  <c r="I140" i="9"/>
  <c r="H139" i="9"/>
  <c r="I139" i="9"/>
  <c r="H138" i="9"/>
  <c r="I138" i="9"/>
  <c r="I137" i="9"/>
  <c r="I136" i="9"/>
  <c r="H135" i="9"/>
  <c r="I135" i="9"/>
  <c r="I134" i="9"/>
  <c r="H133" i="9"/>
  <c r="I133" i="9"/>
  <c r="H132" i="9"/>
  <c r="I132" i="9"/>
  <c r="I131" i="9"/>
  <c r="H130" i="9"/>
  <c r="I130" i="9"/>
  <c r="H129" i="9"/>
  <c r="I129" i="9"/>
  <c r="H128" i="9"/>
  <c r="I128" i="9"/>
  <c r="H127" i="9"/>
  <c r="I127" i="9"/>
  <c r="H126" i="9"/>
  <c r="I126" i="9"/>
  <c r="H125" i="9"/>
  <c r="I125" i="9"/>
  <c r="H124" i="9"/>
  <c r="I124" i="9"/>
  <c r="H123" i="9"/>
  <c r="I123" i="9"/>
  <c r="I122" i="9"/>
  <c r="I121" i="9"/>
  <c r="H120" i="9"/>
  <c r="I120" i="9"/>
  <c r="H119" i="9"/>
  <c r="I119" i="9"/>
  <c r="I118" i="9"/>
  <c r="I117" i="9"/>
  <c r="H116" i="9"/>
  <c r="I116" i="9"/>
  <c r="I115" i="9"/>
  <c r="I114" i="9"/>
  <c r="H113" i="9"/>
  <c r="I113" i="9"/>
  <c r="I112" i="9"/>
  <c r="I111" i="9"/>
  <c r="I110" i="9"/>
  <c r="H109" i="9"/>
  <c r="I109" i="9"/>
  <c r="H108" i="9"/>
  <c r="I108" i="9"/>
  <c r="H107" i="9"/>
  <c r="I107" i="9"/>
  <c r="H106" i="9"/>
  <c r="I106" i="9"/>
  <c r="I105" i="9"/>
  <c r="H104" i="9"/>
  <c r="I104" i="9"/>
  <c r="H103" i="9"/>
  <c r="I103" i="9"/>
  <c r="I102" i="9"/>
  <c r="I101" i="9"/>
  <c r="H100" i="9"/>
  <c r="I100" i="9"/>
  <c r="H99" i="9"/>
  <c r="I99" i="9"/>
  <c r="I98" i="9"/>
  <c r="I97" i="9"/>
  <c r="H96" i="9"/>
  <c r="I96" i="9"/>
  <c r="I95" i="9"/>
  <c r="H94" i="9"/>
  <c r="I94" i="9"/>
  <c r="H93" i="9"/>
  <c r="I93" i="9"/>
  <c r="H92" i="9"/>
  <c r="I92" i="9"/>
  <c r="I91" i="9"/>
  <c r="I90" i="9"/>
  <c r="I89" i="9"/>
  <c r="I88" i="9"/>
  <c r="H87" i="9"/>
  <c r="I87" i="9"/>
  <c r="H86" i="9"/>
  <c r="I86" i="9"/>
  <c r="H85" i="9"/>
  <c r="I85" i="9"/>
  <c r="H84" i="9"/>
  <c r="I84" i="9"/>
  <c r="H83" i="9"/>
  <c r="I83" i="9"/>
  <c r="H82" i="9"/>
  <c r="I82" i="9"/>
  <c r="H81" i="9"/>
  <c r="I81" i="9"/>
  <c r="H80" i="9"/>
  <c r="I80" i="9"/>
  <c r="H79" i="9"/>
  <c r="I79" i="9"/>
  <c r="H78" i="9"/>
  <c r="I78" i="9"/>
  <c r="H77" i="9"/>
  <c r="I77" i="9"/>
  <c r="H76" i="9"/>
  <c r="I76" i="9"/>
  <c r="H75" i="9"/>
  <c r="I75" i="9"/>
  <c r="H74" i="9"/>
  <c r="I74" i="9"/>
  <c r="H73" i="9"/>
  <c r="I73" i="9"/>
  <c r="H72" i="9"/>
  <c r="I72" i="9"/>
  <c r="H71" i="9"/>
  <c r="I71" i="9"/>
  <c r="H70" i="9"/>
  <c r="I70" i="9"/>
  <c r="H69" i="9"/>
  <c r="I69" i="9"/>
  <c r="H68" i="9"/>
  <c r="I68" i="9"/>
  <c r="H67" i="9"/>
  <c r="I67" i="9"/>
  <c r="H66" i="9"/>
  <c r="I66" i="9"/>
  <c r="H65" i="9"/>
  <c r="I65" i="9"/>
  <c r="H64" i="9"/>
  <c r="I64" i="9"/>
  <c r="H63" i="9"/>
  <c r="I63" i="9"/>
  <c r="H62" i="9"/>
  <c r="I62" i="9"/>
  <c r="H61" i="9"/>
  <c r="I61" i="9"/>
  <c r="H60" i="9"/>
  <c r="I60" i="9"/>
  <c r="H59" i="9"/>
  <c r="I59" i="9"/>
  <c r="H58" i="9"/>
  <c r="I58" i="9"/>
  <c r="H57" i="9"/>
  <c r="I57" i="9"/>
  <c r="H56" i="9"/>
  <c r="I56" i="9"/>
  <c r="H55" i="9"/>
  <c r="I55" i="9"/>
  <c r="H54" i="9"/>
  <c r="I54" i="9"/>
  <c r="H53" i="9"/>
  <c r="I53" i="9"/>
  <c r="H52" i="9"/>
  <c r="I52" i="9"/>
  <c r="H51" i="9"/>
  <c r="I51" i="9"/>
  <c r="H50" i="9"/>
  <c r="I50" i="9"/>
  <c r="H49" i="9"/>
  <c r="I49" i="9"/>
  <c r="H48" i="9"/>
  <c r="I48" i="9"/>
  <c r="H47" i="9"/>
  <c r="I47" i="9"/>
  <c r="H46" i="9"/>
  <c r="I46" i="9"/>
  <c r="H45" i="9"/>
  <c r="I45" i="9"/>
  <c r="H44" i="9"/>
  <c r="I44" i="9"/>
  <c r="H43" i="9"/>
  <c r="I43" i="9"/>
  <c r="H42" i="9"/>
  <c r="I42" i="9"/>
  <c r="H41" i="9"/>
  <c r="I41" i="9"/>
  <c r="H40" i="9"/>
  <c r="I40" i="9"/>
  <c r="H39" i="9"/>
  <c r="I39" i="9"/>
  <c r="H38" i="9"/>
  <c r="I38" i="9"/>
  <c r="H37" i="9"/>
  <c r="I37" i="9"/>
  <c r="H36" i="9"/>
  <c r="I36" i="9"/>
  <c r="H35" i="9"/>
  <c r="I35" i="9"/>
  <c r="H34" i="9"/>
  <c r="I34" i="9"/>
  <c r="H33" i="9"/>
  <c r="I33" i="9"/>
  <c r="H32" i="9"/>
  <c r="I32" i="9"/>
  <c r="H31" i="9"/>
  <c r="I31" i="9"/>
  <c r="H30" i="9"/>
  <c r="I30" i="9"/>
  <c r="I29" i="9"/>
  <c r="I28" i="9"/>
  <c r="H27" i="9"/>
  <c r="I27" i="9"/>
  <c r="H26" i="9"/>
  <c r="I26" i="9"/>
  <c r="I25" i="9"/>
  <c r="H24" i="9"/>
  <c r="I24" i="9"/>
  <c r="H23" i="9"/>
  <c r="I23" i="9"/>
  <c r="H22" i="9"/>
  <c r="I22" i="9"/>
  <c r="H21" i="9"/>
  <c r="I21" i="9"/>
  <c r="H20" i="9"/>
  <c r="I20" i="9"/>
  <c r="H19" i="9"/>
  <c r="I19" i="9"/>
  <c r="I18" i="9"/>
  <c r="I17" i="9"/>
  <c r="H16" i="9"/>
  <c r="I16" i="9"/>
  <c r="H15" i="9"/>
  <c r="I15" i="9"/>
  <c r="H14" i="9"/>
  <c r="I14" i="9"/>
  <c r="H13" i="9"/>
  <c r="I13" i="9"/>
  <c r="H12" i="9"/>
  <c r="I12" i="9"/>
  <c r="H11" i="9"/>
  <c r="I11" i="9"/>
  <c r="H10" i="9"/>
  <c r="I10" i="9"/>
  <c r="I9" i="9"/>
  <c r="I722" i="9"/>
</calcChain>
</file>

<file path=xl/sharedStrings.xml><?xml version="1.0" encoding="utf-8"?>
<sst xmlns="http://schemas.openxmlformats.org/spreadsheetml/2006/main" count="4301" uniqueCount="932">
  <si>
    <t>Палочка стекляная 22 см</t>
  </si>
  <si>
    <t>Стакан высокий со шкалой В-1000</t>
  </si>
  <si>
    <t>С-реактивный белок</t>
  </si>
  <si>
    <t>Сульфасалициловая кислота ЧДА</t>
  </si>
  <si>
    <t>Питательный агар (Агар МПА)</t>
  </si>
  <si>
    <t xml:space="preserve">Агар ЖСА (Хай-Медиа) </t>
  </si>
  <si>
    <t>Маннит-солевой агар</t>
  </si>
  <si>
    <t>Кювета для фотометрии на 10 мм</t>
  </si>
  <si>
    <t>Кювета для фотометрии на 5 мм</t>
  </si>
  <si>
    <t>Камера Горяева цельная, двусеточная</t>
  </si>
  <si>
    <t xml:space="preserve">Набор для окраски кислоустойчивых микроорганизмов (набор по Циль-Нильсену (0,3% основной фуксин, 3% солянокислый спирт, 3% метил. Синий по Лефлеру) </t>
  </si>
  <si>
    <t>Пипетки Пастера градуированная на 1 мл стерильные одноразовые в инд. Упаковке</t>
  </si>
  <si>
    <t>Пипетка 5 мл., серологическая в инд. Упаковке</t>
  </si>
  <si>
    <t>Пипетка 10 мл., серологическая в инд. Упаковке</t>
  </si>
  <si>
    <t>Пробирки Фелкон на 50 мл., стер., в инд. Упаковке коническое дно (Италия)</t>
  </si>
  <si>
    <t>Стекла предметные с матовым краем для записи</t>
  </si>
  <si>
    <t>табл.</t>
  </si>
  <si>
    <t>флак</t>
  </si>
  <si>
    <t>амп</t>
  </si>
  <si>
    <t>шприц-ручка</t>
  </si>
  <si>
    <t>фл</t>
  </si>
  <si>
    <t>капс</t>
  </si>
  <si>
    <t>таб</t>
  </si>
  <si>
    <t xml:space="preserve">фл. </t>
  </si>
  <si>
    <t>кг.</t>
  </si>
  <si>
    <t>бан</t>
  </si>
  <si>
    <t>уп.</t>
  </si>
  <si>
    <t>бут.</t>
  </si>
  <si>
    <t>фл-500гр</t>
  </si>
  <si>
    <t>Приложение № 1 к приказу</t>
  </si>
  <si>
    <t>№ п/п</t>
  </si>
  <si>
    <t>Ед.  изм-я</t>
  </si>
  <si>
    <t>Наименование товара, работ и услуг</t>
  </si>
  <si>
    <t>Способ гос. осущест-я гос. закупок</t>
  </si>
  <si>
    <t>Специфика</t>
  </si>
  <si>
    <t>Полная характеристика (описание)товаров,работ и услуг</t>
  </si>
  <si>
    <t>Цена  за ед-цу</t>
  </si>
  <si>
    <t>Сумма выделенная для осуществления гос.закупок в тенге</t>
  </si>
  <si>
    <t>Сроки поставки товаров,работ и услуг</t>
  </si>
  <si>
    <t xml:space="preserve">Место поставки товара, работ и услуг </t>
  </si>
  <si>
    <t>кг</t>
  </si>
  <si>
    <t>МРПТД УЗ</t>
  </si>
  <si>
    <t>шт</t>
  </si>
  <si>
    <t>в течении года</t>
  </si>
  <si>
    <t>шт.</t>
  </si>
  <si>
    <t>л</t>
  </si>
  <si>
    <t xml:space="preserve">                                                                                                ГККП Межрайонный противотуберкулезный диспансер  УЗ  г.Алматы</t>
  </si>
  <si>
    <t>Кол-во</t>
  </si>
  <si>
    <t>упак</t>
  </si>
  <si>
    <t>пара</t>
  </si>
  <si>
    <t>уп</t>
  </si>
  <si>
    <t>набор</t>
  </si>
  <si>
    <t>рулон</t>
  </si>
  <si>
    <t>банка</t>
  </si>
  <si>
    <t>142- специфика  Медикаменты</t>
  </si>
  <si>
    <t>Азитромицин</t>
  </si>
  <si>
    <t>Амброксол</t>
  </si>
  <si>
    <t>Аминокапроновая кислота</t>
  </si>
  <si>
    <t>Апротинин</t>
  </si>
  <si>
    <t xml:space="preserve">Аскорбиновая кислота  </t>
  </si>
  <si>
    <t>Ацикловир</t>
  </si>
  <si>
    <t>Гидроксиэтилкрахмал</t>
  </si>
  <si>
    <t>Декстроза</t>
  </si>
  <si>
    <t xml:space="preserve">Депротеинизированный гемодериват крови телят </t>
  </si>
  <si>
    <t xml:space="preserve">Диклофенак </t>
  </si>
  <si>
    <t>Допамин</t>
  </si>
  <si>
    <t>Инсулин гларгин</t>
  </si>
  <si>
    <t>Инсулин аспарт двухфазный в комбинации с инсулином средней продолжительности (смесь аналогов инсулина короткого и средней продолжительности действия)</t>
  </si>
  <si>
    <t>Инсулин детемир</t>
  </si>
  <si>
    <t>Итраконазол</t>
  </si>
  <si>
    <t>Кетопрофен</t>
  </si>
  <si>
    <t>Комплекс аминокислот для парентелального питания не менее 14 аминокислот 4% или 5%</t>
  </si>
  <si>
    <t>Лидокаин</t>
  </si>
  <si>
    <t>Лиофилизированные дрожжи сахоромицети буларди 250 мг</t>
  </si>
  <si>
    <t>Маннитол</t>
  </si>
  <si>
    <t>Меропенем</t>
  </si>
  <si>
    <t>Метамизол натрия</t>
  </si>
  <si>
    <t>Метронидазол</t>
  </si>
  <si>
    <t>Натрия тиосульфат</t>
  </si>
  <si>
    <t>Натрия хлорид</t>
  </si>
  <si>
    <t>Омепразол</t>
  </si>
  <si>
    <t>Панкреатин</t>
  </si>
  <si>
    <t>Папаверина гидрохлорид</t>
  </si>
  <si>
    <t xml:space="preserve">Перчатки  диагностические нитриловые текстурированные неопудренные нестерильные </t>
  </si>
  <si>
    <t xml:space="preserve">Перчатки хирургические латексные опудренные нестерильные </t>
  </si>
  <si>
    <t>Пипекурония бромид</t>
  </si>
  <si>
    <t>Пиридоксин</t>
  </si>
  <si>
    <t>Препараты железа (III) для парентерального применения</t>
  </si>
  <si>
    <t>Прокаин</t>
  </si>
  <si>
    <t>Пропофол</t>
  </si>
  <si>
    <t>Системы одноразовые</t>
  </si>
  <si>
    <t>Тиамин</t>
  </si>
  <si>
    <t>Урсодезоксихолевая кислота</t>
  </si>
  <si>
    <t>Фамотидин</t>
  </si>
  <si>
    <t>Флуконозол</t>
  </si>
  <si>
    <t>Фуросемид</t>
  </si>
  <si>
    <t>Цефтазидим</t>
  </si>
  <si>
    <t>Цефтриаксон</t>
  </si>
  <si>
    <t>Цианокобаламин</t>
  </si>
  <si>
    <t>Цитиколин</t>
  </si>
  <si>
    <t>Шприц одноразовый</t>
  </si>
  <si>
    <t>Эналаприл</t>
  </si>
  <si>
    <t>Эссенциальные фосфолипиды</t>
  </si>
  <si>
    <t>Этамзилат</t>
  </si>
  <si>
    <t>Р-Р натрий хлорид 0,9% -200,0</t>
  </si>
  <si>
    <t>Р-р натрия хлорид 0,9%-400,0</t>
  </si>
  <si>
    <t>Р-р натрия хлорид 10%-200,0</t>
  </si>
  <si>
    <t>Р-р новокаин 0,25%-100,0</t>
  </si>
  <si>
    <t>Р-р фурациллина 0,02%-400,0</t>
  </si>
  <si>
    <t>Р-Р Рингера 400,0 стер</t>
  </si>
  <si>
    <t>Вода очищенная 400,0 стер.</t>
  </si>
  <si>
    <t>Глицерин 50,0 стерильно</t>
  </si>
  <si>
    <t>Р-р перекиси водорода 3%-100,0</t>
  </si>
  <si>
    <t>Р-р перекиси водорода 6%-500,0</t>
  </si>
  <si>
    <t>Перекись водорода 30%-500</t>
  </si>
  <si>
    <t>Р-р натрия цитрат 5%-10,0 стер.</t>
  </si>
  <si>
    <t>Р-р уксусной к-ты 3%-100,0</t>
  </si>
  <si>
    <t>Р-р уксусной к-ты 30% -400,0</t>
  </si>
  <si>
    <t>Р-р формалина 10%-500,0</t>
  </si>
  <si>
    <t>Р-р хлоргексидина 0,05%-400 стер.</t>
  </si>
  <si>
    <t>Азопирам 50</t>
  </si>
  <si>
    <t>Фенолфталеина р-р 1%-100,0</t>
  </si>
  <si>
    <t>Разведение спирта этилов 70%</t>
  </si>
  <si>
    <t>Кислоты аскорбиновая пищевая</t>
  </si>
  <si>
    <t>Сложные мази 100,0</t>
  </si>
  <si>
    <t>Р-р люголя водный 1%-100,0</t>
  </si>
  <si>
    <t>Р-р амидопирина 5%-100,0</t>
  </si>
  <si>
    <t>Сложные порошки взрослые №10</t>
  </si>
  <si>
    <t>Масло вазелиновое стер 100,0</t>
  </si>
  <si>
    <t>Мазь левомеколь 50,0</t>
  </si>
  <si>
    <t>Контактно-активируемый ланцет (с маркировкой BD). Ширина лезвия 1,5 мм. Глубина прокола 2,0м</t>
  </si>
  <si>
    <t>Агар Эндо</t>
  </si>
  <si>
    <t>Ферментативный пептон</t>
  </si>
  <si>
    <t xml:space="preserve">Плазма кроличья </t>
  </si>
  <si>
    <t>Общий белок, жидкий (600 опр)</t>
  </si>
  <si>
    <t>АлАТ  (аминотрансферраза аланиновая)                (696 опр.)</t>
  </si>
  <si>
    <t>АсАТ (аминотрансферраза аспарагиновая)              (696 опр.)</t>
  </si>
  <si>
    <t>Билирубин общий, жидкий (440 опр)</t>
  </si>
  <si>
    <t>Билирубин прямой, жидкий (471 опр)</t>
  </si>
  <si>
    <t>Холестерин, жидкий (656 опр)</t>
  </si>
  <si>
    <t>Азот мочевины, жидкий (867 опр)</t>
  </si>
  <si>
    <t>Креатинин, жидкий (640 опр)</t>
  </si>
  <si>
    <t>Триглицериды, жидкий (600 опр)</t>
  </si>
  <si>
    <t>Альбумин, жидкий (250 опр)</t>
  </si>
  <si>
    <t>Амилаза, жидкий (320 опр)</t>
  </si>
  <si>
    <t>Глюкозооксидаза (700 опр.)</t>
  </si>
  <si>
    <t>HDL (холестерол с высоким удельным весом), жидкий (400 опр)</t>
  </si>
  <si>
    <t>LDL (холестерол с низким удельным весом), жидкий (180 опр)</t>
  </si>
  <si>
    <t>Короткие емкости под пробы (1000шт/уп.)</t>
  </si>
  <si>
    <t>Промыватель дозатора (10*5 мл.)</t>
  </si>
  <si>
    <t>Referril G разбавитель (10*5 мл.)</t>
  </si>
  <si>
    <t>Referril G калибратор (10*3 мл.)</t>
  </si>
  <si>
    <t>Контроль Serachem 1 уровня (12*5 мл.)</t>
  </si>
  <si>
    <t>Очиститель кювет (10*100 мл.)</t>
  </si>
  <si>
    <t>Калибратор HDL холестерола c высоким удельным весом (Referril HDL)</t>
  </si>
  <si>
    <t>Калибратор LDL холестерола c  низким удельным весом (Referril LDL)</t>
  </si>
  <si>
    <t>Реакционные кюветы (60 шт./уп)</t>
  </si>
  <si>
    <t>Растворитель изотонический  20 л.                             Dilluid ERMA</t>
  </si>
  <si>
    <t>Интенсивный чистящий раствор Proclin Plus              100 мл.</t>
  </si>
  <si>
    <t>Лизирующий раствор CyMET III Diff ERMA               500 мл.</t>
  </si>
  <si>
    <t>Чистящий раствор Proclin 5 л.</t>
  </si>
  <si>
    <t>Интенсивный чистящий раствор Hypochlorite 0.5%, 1 л.</t>
  </si>
  <si>
    <t xml:space="preserve">контрольные материалы (контрольная кровь) 3х2,5 мл. (Low/Normal/High) </t>
  </si>
  <si>
    <t xml:space="preserve">Техпластин-тест (жидкий тромбопластин) </t>
  </si>
  <si>
    <t xml:space="preserve">АПТВ-тест (активатор эллаговая кислота) </t>
  </si>
  <si>
    <t xml:space="preserve">Д-Димер 40 опр. </t>
  </si>
  <si>
    <t>GEM 3K BG/ISE 150 TEST CARTRIDGE                 (Картридж на 150 определений )</t>
  </si>
  <si>
    <t>Contril 7 Контроль 1 уровня (30х2 мл.)</t>
  </si>
  <si>
    <t>ContrIL 7 Контроль 2 уровня (30х2 мл.)</t>
  </si>
  <si>
    <t>ContrIL 7 Контроль 3 уровня (30х2 мл.)</t>
  </si>
  <si>
    <t xml:space="preserve">Тест-полоски "FreeStyle Optium" (1 уп./50 шт.) </t>
  </si>
  <si>
    <t>RPR-Carbon-DAC - кардиолипиновый антиген (500 опр.)</t>
  </si>
  <si>
    <t>RPR-Carbon - тест на сифилис (100 шт./уп.)</t>
  </si>
  <si>
    <t>Тест-полоски (1 уп./100 шт.)</t>
  </si>
  <si>
    <t>Контрольная сыворотка на сифилис положительная фл. 1 мл. № 10</t>
  </si>
  <si>
    <t>Бумага для принтера  (5 шт/1 уп.)</t>
  </si>
  <si>
    <t xml:space="preserve">термобумага    </t>
  </si>
  <si>
    <t>Наконечники 200-1000 мкл. голубые (уп 500 шт.) китай</t>
  </si>
  <si>
    <t>Урометр для мочи</t>
  </si>
  <si>
    <t>Стекла покровные 18*18 мм (Россия) 10 по 100 шт (упак) 1 упак=1000 шт</t>
  </si>
  <si>
    <t>Пипетки 0,1 на полный слив стекляные</t>
  </si>
  <si>
    <t>Пипетки 0,2 на полный слив стекляные</t>
  </si>
  <si>
    <t>Пипетки 1 на полный слив стекляные</t>
  </si>
  <si>
    <t>Пипетки 2,0 на полный слив стекляные</t>
  </si>
  <si>
    <t>Пипетки 5,0 на полный слив стекляные</t>
  </si>
  <si>
    <t>Пипетки 10,0 на полный слив стекляные</t>
  </si>
  <si>
    <t>Ерш для мытья лабораторной и аптечной посуды, 280*100*25 мм, пробирочный (ручка из проволоки</t>
  </si>
  <si>
    <t>Груши с пластмассовым наконечником №1</t>
  </si>
  <si>
    <t>Пробирки центрифужные с делением</t>
  </si>
  <si>
    <t>Каппиляр СОЭ к аппарату Панченкова</t>
  </si>
  <si>
    <t>Чашки Петри стекляные</t>
  </si>
  <si>
    <t>Стерильный хирургический комплект (халат, колпак, маска, бахилы)</t>
  </si>
  <si>
    <t xml:space="preserve">Бахилы низкие одноразовые </t>
  </si>
  <si>
    <t xml:space="preserve">Бахилы высокие одноразовые </t>
  </si>
  <si>
    <t>Шапочка берет одноразовый не стерильный</t>
  </si>
  <si>
    <t>Колпаки одноразовые высокие с отворотом на завязках</t>
  </si>
  <si>
    <t>Халат одноразовый медицинский не стерильный</t>
  </si>
  <si>
    <t>Респиратор 3ТМ 1873V+ (с клапаном)</t>
  </si>
  <si>
    <t>Респиратор 3ТМ 1873V+ (без клапана)</t>
  </si>
  <si>
    <t>Маска хирургическая на резинке (белая)</t>
  </si>
  <si>
    <t>Салфетки стерильные для мед.инструментария</t>
  </si>
  <si>
    <t>Простыни одноразовые не стерильные 100х180</t>
  </si>
  <si>
    <t>Пеленка одноразовая не стерильная 70х80</t>
  </si>
  <si>
    <t>Клеенка подкладная 50м</t>
  </si>
  <si>
    <t>Презервативы для УЗИ</t>
  </si>
  <si>
    <t>Вата</t>
  </si>
  <si>
    <t>Универсальная аптечка</t>
  </si>
  <si>
    <t>Спиртовые тампоны однократного применения №100</t>
  </si>
  <si>
    <t>Гель  для УЗИ "Медиагель" 5кг</t>
  </si>
  <si>
    <t>Термоиндикатор лента на 180° №1000</t>
  </si>
  <si>
    <t>Термоиндикатор лента на 132° №1000</t>
  </si>
  <si>
    <t>Термоиндикатор лента на 120° №1000</t>
  </si>
  <si>
    <t>Термоиндикатор (бумажный, самоклеющейся) на 120° №500</t>
  </si>
  <si>
    <t>Термоиндикатор (бумажный, самоклеющейся) на 180° №500</t>
  </si>
  <si>
    <t>Термоиндикатор(бумажный, самоклеющейся) на 132° №500</t>
  </si>
  <si>
    <t>упаковочный материал 10*100 для сухожаровой стерилизации</t>
  </si>
  <si>
    <t>упаковочный материал 15*100 для сухожаровой стерилизации</t>
  </si>
  <si>
    <t>упаковочный материал 25*100 для сухожаровой стерилизации</t>
  </si>
  <si>
    <t>Крафт бумага 106х106мм</t>
  </si>
  <si>
    <t>Халат одноразовый медицинский  стерильный</t>
  </si>
  <si>
    <t>Пероксид (Steriling Agent) Н2О2 30ml</t>
  </si>
  <si>
    <t>Химический индикатор лента (chemical Indicator Tare)</t>
  </si>
  <si>
    <t>Химический индикатор в полоске  REF HMCS-02(chemical Indicator strip. 250 Strips)</t>
  </si>
  <si>
    <t>Упаковочные рулоны (Pouch 250mm)</t>
  </si>
  <si>
    <t>Упаковочные рулоны (Pouch 75mm)</t>
  </si>
  <si>
    <t>Упаковочные рулоны (Pouch 100mm)</t>
  </si>
  <si>
    <t>Упаковочные рулоны (Pouch 150mm)</t>
  </si>
  <si>
    <t>Упаковочные рулоны (Pouch 300mm)</t>
  </si>
  <si>
    <t xml:space="preserve">Одноразовый упаковочный материал для низко-температурного плазменного стерилизатора HMTS-SES40 </t>
  </si>
  <si>
    <t>Биологический индикатор</t>
  </si>
  <si>
    <t>Запаечная машинка</t>
  </si>
  <si>
    <t>Принтерная бумага</t>
  </si>
  <si>
    <t>Скальпель №22 "Biolancet" со съемным лезвием одноразовый</t>
  </si>
  <si>
    <t>Емкость для сбора биопсийного материала 1000 гр</t>
  </si>
  <si>
    <t>Емкость для дезинфекии инструментов 10 л</t>
  </si>
  <si>
    <t>Контейнер ваккутейнер одноразовый для мочи 200 мл</t>
  </si>
  <si>
    <t>Пробирки 50,0 конические стерильные (тубусы)</t>
  </si>
  <si>
    <t>Ваккутейнер одноразовый для ОАК</t>
  </si>
  <si>
    <t>Ваккутейнер одноразовый для биохимических анализов</t>
  </si>
  <si>
    <t>Ваккутейнер одноразовый для ВИЧ</t>
  </si>
  <si>
    <t>Ваккутейнер одноразовый для коагулограмму</t>
  </si>
  <si>
    <t>Ваккутейнер одноразовый для маркеры</t>
  </si>
  <si>
    <t>Штативы для в/в вливании</t>
  </si>
  <si>
    <t>Бутылка из темного стекла с закручивающейся крышкой 5л</t>
  </si>
  <si>
    <t>Бутылка из темного стекла с закручивающейся крышкой 2л</t>
  </si>
  <si>
    <t>Воротник просвинцованный взрослый</t>
  </si>
  <si>
    <t>Косынка просвинцованная (шапочка для взрослых)</t>
  </si>
  <si>
    <t>Фартук просвинцованный взрослый односторонный 110см</t>
  </si>
  <si>
    <t>Неантичный фонарь</t>
  </si>
  <si>
    <t>Кассета для рентген пленки 18х24</t>
  </si>
  <si>
    <t>Кассета для рентген пленки 24х30</t>
  </si>
  <si>
    <t>Кассета для рентген пленки 30х40</t>
  </si>
  <si>
    <t>Кассета для рентген пленки 35х35</t>
  </si>
  <si>
    <t>Гигрометр ВИТ 2</t>
  </si>
  <si>
    <t>Лента принтерная для УЗИ аппарата</t>
  </si>
  <si>
    <t>Рентген пленка 18х24</t>
  </si>
  <si>
    <t>Рентген пленка 24х30</t>
  </si>
  <si>
    <t>Рентген пленка 30х40</t>
  </si>
  <si>
    <t>Рентген пленка 35х35</t>
  </si>
  <si>
    <t>Термографическая пленка (томографическая пленка)</t>
  </si>
  <si>
    <t>Проявитель в комплекте жидкий на 20л</t>
  </si>
  <si>
    <t>Фиксаж в комплекте жидкий на 20л</t>
  </si>
  <si>
    <t>Флюрографическая пленка</t>
  </si>
  <si>
    <t>Фиксаж сухой</t>
  </si>
  <si>
    <t>Проявитель сухой</t>
  </si>
  <si>
    <t>Эндометазон для пломбирования каналов</t>
  </si>
  <si>
    <t>Пулпотек для ампутации зуба</t>
  </si>
  <si>
    <t>Рот канал ЭДТА гель для расширение канала</t>
  </si>
  <si>
    <t>Штифт позолоченный для пломбирование</t>
  </si>
  <si>
    <t>Щетка для протирания кювет на моечной станции , 1шт</t>
  </si>
  <si>
    <t>Щетка полированная для полировки</t>
  </si>
  <si>
    <t>Чашка "петри" стеклянные для инструментов</t>
  </si>
  <si>
    <t>Эндо-иглы для промывании каналов</t>
  </si>
  <si>
    <t>Гуттаперчевые Штифты ассорти для пломбирование каналов</t>
  </si>
  <si>
    <t>Революшен для пломбирование зубов</t>
  </si>
  <si>
    <t>Бела Гель 30% для клинического отбеливания</t>
  </si>
  <si>
    <t>Скальпель  одноразовый для надрезов</t>
  </si>
  <si>
    <t>Белодез №% 100мл для иригации</t>
  </si>
  <si>
    <t>Твердосплавные боры для углового наконечника для препаровки</t>
  </si>
  <si>
    <t>Головка алмазная для трубинного наконечника для препаровки</t>
  </si>
  <si>
    <t>Жидкость для очистки алазных инструментов</t>
  </si>
  <si>
    <t>Экран полимерный для защиты глаз</t>
  </si>
  <si>
    <t>Валики ватные для абсорции</t>
  </si>
  <si>
    <t>Защитные очки для защиты глаз</t>
  </si>
  <si>
    <t>Комплект стоматологический смотровой для осмотра</t>
  </si>
  <si>
    <t>Микробраш для нанесения адгезива</t>
  </si>
  <si>
    <t>Гемостатическая жидкость ЭНДОЖИ для гемостаза</t>
  </si>
  <si>
    <t>Харизма световая пломба для пломбирования</t>
  </si>
  <si>
    <t>Пульпоэкстрактор короткий для экстракции пульпы</t>
  </si>
  <si>
    <t>Убистезин форте для обезболивания</t>
  </si>
  <si>
    <t>Гладилка серповидная для приема пациента</t>
  </si>
  <si>
    <t>Шприц карпульный для катрижных анестезии</t>
  </si>
  <si>
    <t>Т-эконом для пломбирования</t>
  </si>
  <si>
    <t xml:space="preserve">Эндобокс для эндодонтических инструментов </t>
  </si>
  <si>
    <t>Игла карпульная 27/35 для обезболивания</t>
  </si>
  <si>
    <t>Канал плюс для пломбирования</t>
  </si>
  <si>
    <t>Головка полированная Энханс для полировки</t>
  </si>
  <si>
    <t>Нитифлекс - Файл для расширения каналов</t>
  </si>
  <si>
    <t>Гейтц-глиден ассорти для расширения устьев каналов</t>
  </si>
  <si>
    <t>Комполюкс х/о для пломбирования зубов</t>
  </si>
  <si>
    <t>Боры алмазная разных видов для припаровки</t>
  </si>
  <si>
    <t>К - файл №15-40 для расширения каналов</t>
  </si>
  <si>
    <t>Н - файл №15-40 для расширенияя каналов</t>
  </si>
  <si>
    <t>Штифт бумажный №15-40 для высушивания каналов</t>
  </si>
  <si>
    <t>Диспенсер для валиков для валиков</t>
  </si>
  <si>
    <t>Наконечник слюноотсос для отсасывания слюны</t>
  </si>
  <si>
    <t>Салфетки нагрудные для груди</t>
  </si>
  <si>
    <t>Крезодент жидкость для инфецированных каналов</t>
  </si>
  <si>
    <t>Упен 800 гр. Для ортопедии</t>
  </si>
  <si>
    <t>Клеан-полюш для полировки зубов</t>
  </si>
  <si>
    <t>Супер-полюш для полировки зубов</t>
  </si>
  <si>
    <t>Протайперы Н У ass для расширении каналов</t>
  </si>
  <si>
    <t>Уницем 100/60 гранулированный белый для пломбирования</t>
  </si>
  <si>
    <t>Пеизо риммер для прохождения каналов</t>
  </si>
  <si>
    <t>Кетак моляр для пломбирования</t>
  </si>
  <si>
    <t>Игла многоразовая для плвральной пункции</t>
  </si>
  <si>
    <t>Многоразовая игла VERSASTER для инсуффляции/ доступа (пневмоперитонеума) 14G №1</t>
  </si>
  <si>
    <t>Стерильный чехол для торакоскопа 13х242 cm</t>
  </si>
  <si>
    <t xml:space="preserve">Морфин 1%-1,0 </t>
  </si>
  <si>
    <t>Промедол 2%-1,0</t>
  </si>
  <si>
    <t>Фентанил 0,005%-2,0</t>
  </si>
  <si>
    <t>Диазепам 0,5%-2,0</t>
  </si>
  <si>
    <t>Этиловый спирт 96%</t>
  </si>
  <si>
    <t>Атропин</t>
  </si>
  <si>
    <t xml:space="preserve">Ампициллин </t>
  </si>
  <si>
    <t xml:space="preserve">Амоксициллин + клавулановая кислота </t>
  </si>
  <si>
    <t xml:space="preserve">Адеметионин </t>
  </si>
  <si>
    <t>Амиодарон</t>
  </si>
  <si>
    <t>Альбумина10%100мл  раст.д/инф.</t>
  </si>
  <si>
    <t>Альбумина10%50мл  раст.д/инф.</t>
  </si>
  <si>
    <t>Аминофилин</t>
  </si>
  <si>
    <t>Бензилпенициллин</t>
  </si>
  <si>
    <t xml:space="preserve">Бинт стирильный </t>
  </si>
  <si>
    <t xml:space="preserve">Вальпроевая кислота </t>
  </si>
  <si>
    <t>Гентамицин</t>
  </si>
  <si>
    <t>Гепарин</t>
  </si>
  <si>
    <t>Дексаметазон</t>
  </si>
  <si>
    <t>Декстран</t>
  </si>
  <si>
    <t>Дигоксин</t>
  </si>
  <si>
    <t>Домперидон</t>
  </si>
  <si>
    <t>Дротаверин</t>
  </si>
  <si>
    <t>железа (II) сульфат сухой + Аскарбиновая кислота</t>
  </si>
  <si>
    <t>Зонт урогенитальный</t>
  </si>
  <si>
    <t>Иглы к шприц-ручке диаметром не более 0,33мм-8мм</t>
  </si>
  <si>
    <t>Инсулин растворимый человеческий генно-инженерный суточного действия (средний)</t>
  </si>
  <si>
    <t>Изособида динитрат</t>
  </si>
  <si>
    <t>Йопромид</t>
  </si>
  <si>
    <t>Калия гидроксид, магния оксид легкий, D1- аспаргиновая кислота</t>
  </si>
  <si>
    <t>Кальция глюканат</t>
  </si>
  <si>
    <t>Карантина оротат ( в.т.ч. Кислоты оротовой и карнитина), антитоксическая фракция экстракта печени (в.т.ч. цианкобаламин), пиридоксина гидрохлорид, цианкобаламин, аденина гидрохлорид, рибофлавин, бифенилдиметил- дикарбоксилат</t>
  </si>
  <si>
    <t>Карантина оротат ( в.т.ч. Кислоты оротовой и карнитина), D1-карнитина гидрохлорид (в.т.ч. Карнитина основная), антитоксическая фракция экстракта печени (в.т.ч. цианкобаламин)    аденозин, пиридоксина  гидрохлорид, цианкобаламин</t>
  </si>
  <si>
    <t>Карантина оротат ( в.т.ч. Кислоты оротовой и карнитина), антитоксическая фракция экстракта печени (в.т.ч. цианкобаламин), пиридоксина гидрохлорид, цианкобаламин, аденина гидрохлорид, рибофлавин)</t>
  </si>
  <si>
    <t>Карбамазепин</t>
  </si>
  <si>
    <t>Катетер подключенный, стерильный</t>
  </si>
  <si>
    <t>Кеторолак</t>
  </si>
  <si>
    <t>Комплект для ограничения операционного поля, стерильный одноразовый из нетканого материала</t>
  </si>
  <si>
    <t xml:space="preserve">Комплект изделий для гинекологического осмотра одноразовый стерильный </t>
  </si>
  <si>
    <t>Комплект стерильный для ограничения операционного поля</t>
  </si>
  <si>
    <t xml:space="preserve">Комплект хирургический стерильный </t>
  </si>
  <si>
    <t xml:space="preserve">Комплект хирургический одежды стерильный </t>
  </si>
  <si>
    <t xml:space="preserve">контейнер ваккутейнер для мочи стерильный </t>
  </si>
  <si>
    <t>Костюм хирургический нестерильный из нетканого материала</t>
  </si>
  <si>
    <t xml:space="preserve">Лактулоза </t>
  </si>
  <si>
    <t>Лорноксикам</t>
  </si>
  <si>
    <t xml:space="preserve">Маска 4-х слойная </t>
  </si>
  <si>
    <t xml:space="preserve">Метоклопрамид </t>
  </si>
  <si>
    <t>норфлоксацин</t>
  </si>
  <si>
    <t>Пентоксифиллион</t>
  </si>
  <si>
    <t xml:space="preserve">Перчатки  диагностические нитриловые текстурированные неопудренные стерильные </t>
  </si>
  <si>
    <t xml:space="preserve">Перчатки хирургические латексные опудренные стерильные </t>
  </si>
  <si>
    <t>Пефлокасацин</t>
  </si>
  <si>
    <t xml:space="preserve">Пирацетам </t>
  </si>
  <si>
    <t>Повидон- йод</t>
  </si>
  <si>
    <t>преднизолон</t>
  </si>
  <si>
    <t>Рокурония бромид</t>
  </si>
  <si>
    <t xml:space="preserve">Сальбутамол </t>
  </si>
  <si>
    <t>Скарификатор</t>
  </si>
  <si>
    <t>Спиронолактон</t>
  </si>
  <si>
    <t>Сукцинилированный желатин</t>
  </si>
  <si>
    <t>Сульфаметоксазол+ триметоприм</t>
  </si>
  <si>
    <t>Тиофиллин</t>
  </si>
  <si>
    <t>Тест полосы для определения глюкозы в крови</t>
  </si>
  <si>
    <t xml:space="preserve">Тофизопам </t>
  </si>
  <si>
    <t>Урапидил</t>
  </si>
  <si>
    <t>Флуоуксетин</t>
  </si>
  <si>
    <t>Фолиевая кислота</t>
  </si>
  <si>
    <t>Фосфомицин</t>
  </si>
  <si>
    <t xml:space="preserve">хлоропирамин </t>
  </si>
  <si>
    <t>Цефепим</t>
  </si>
  <si>
    <t>Ципрофлоксацин</t>
  </si>
  <si>
    <t xml:space="preserve">Шпатель терапевтический </t>
  </si>
  <si>
    <t xml:space="preserve">шприц одноразовый, саморазрушающийся </t>
  </si>
  <si>
    <t>Эпинефрин</t>
  </si>
  <si>
    <t>Эртапенем</t>
  </si>
  <si>
    <t>Натрия гидрокарбонат 4% 200,0</t>
  </si>
  <si>
    <t xml:space="preserve">Глюкоза 10% 200,0 </t>
  </si>
  <si>
    <t xml:space="preserve">Глюкоза 20% 200,0 </t>
  </si>
  <si>
    <t>Дезапрев  1 литр</t>
  </si>
  <si>
    <t>Жавилар плюс  в таблетках</t>
  </si>
  <si>
    <t>Жавилар эффект  в гранулах</t>
  </si>
  <si>
    <t>Эрисан Дез  3 литра</t>
  </si>
  <si>
    <t>Антибактериальное мыло «Нонсид»  1 литр</t>
  </si>
  <si>
    <t>Антибактериальное мыло</t>
  </si>
  <si>
    <t>«Акмасофт»  1 литр</t>
  </si>
  <si>
    <t>Кожный антисептик  «Аллсепт»</t>
  </si>
  <si>
    <t>Клорилли  5 литров</t>
  </si>
  <si>
    <t>Комбинированный дезинфектант</t>
  </si>
  <si>
    <t>Хюпе  Ф -10  20 литров</t>
  </si>
  <si>
    <t>Стераниос  5  литров</t>
  </si>
  <si>
    <t>Сурфаниос 5 литров</t>
  </si>
  <si>
    <t xml:space="preserve">Универсал Дез 1 литр </t>
  </si>
  <si>
    <t>Аниозим 1 литр</t>
  </si>
  <si>
    <t>Дезефект  кристалл</t>
  </si>
  <si>
    <t>Концентрат  5 литров</t>
  </si>
  <si>
    <t>Ухажер  1 литр</t>
  </si>
  <si>
    <t>Клиндезин – Окси  (готовый раствор)</t>
  </si>
  <si>
    <t>Клиндезин  3000 (готовый раствор)</t>
  </si>
  <si>
    <t>Мегабак  1 литр</t>
  </si>
  <si>
    <t>Кловин  септон  5 кг</t>
  </si>
  <si>
    <t xml:space="preserve">Кислород </t>
  </si>
  <si>
    <t xml:space="preserve">Питательный агар сухой для культивирования микро организмов 0,250 гр </t>
  </si>
  <si>
    <t>шапочка 0,17 мм для взрослых</t>
  </si>
  <si>
    <t xml:space="preserve">Микротейнер BD  для общего анализа крови </t>
  </si>
  <si>
    <t xml:space="preserve">Пробирка эппиндорф </t>
  </si>
  <si>
    <t xml:space="preserve">Комплект трубочек для замены </t>
  </si>
  <si>
    <t xml:space="preserve">Фильтировальная бумага </t>
  </si>
  <si>
    <t>кюветы для куатрон</t>
  </si>
  <si>
    <t xml:space="preserve">Плазма-контрольная (норма) </t>
  </si>
  <si>
    <t xml:space="preserve">Тропонин-I, реагент 100 тестов </t>
  </si>
  <si>
    <t>Тропонин-I, контроль (6х3 мл.)</t>
  </si>
  <si>
    <t>Тропонин-I, калибратор (6х4 мл.)</t>
  </si>
  <si>
    <t xml:space="preserve">СА15-3, реагент 400 тестов </t>
  </si>
  <si>
    <t>СА15-3 контроль  (2*8 мл)</t>
  </si>
  <si>
    <t>СА15-3 калибратор (6х4 мл)</t>
  </si>
  <si>
    <t>Поверхностный антиген вируса гепатита В (HBsAg Qualitative) качественный, реагент 100 тестов</t>
  </si>
  <si>
    <t>Поверхностный антиген вируса гепатита В (HBsAg Qualitative), качественный тест, калибратор (2х4мл)</t>
  </si>
  <si>
    <t>Поверхностный антиген вируса гепатита В (HBsAg Qualitative), качественный тест, контроль (2х8мл)</t>
  </si>
  <si>
    <t>Антитела к вирусу гепатита С (anti-HCV), реагент 400 тестов</t>
  </si>
  <si>
    <t>Антитела к вирусу гепатита С (anti-HCV), калибратор (1х4 мл)</t>
  </si>
  <si>
    <t>Антитела к вирусу гепатита С (anti-HCV), контроль (2х8 мл).</t>
  </si>
  <si>
    <t xml:space="preserve">Промывающий буфер (Wash buffer) (4х1л)  </t>
  </si>
  <si>
    <t>Раствор Триггера (Trigger solution) (4х1 л)</t>
  </si>
  <si>
    <t>Раствор Пре-триггера (Pre-trigger solution)                (4бут -1 уп)</t>
  </si>
  <si>
    <t xml:space="preserve">Предохранительные крышечки  (Septums)              (200 шт/уп.) </t>
  </si>
  <si>
    <t>Заменяемые крышечки  (Replacement cups)              (100 шт/уп.)</t>
  </si>
  <si>
    <t>СА-19-9, реагент 400 тестов</t>
  </si>
  <si>
    <t>СА-19-9, калибратор (6х4 мл.)</t>
  </si>
  <si>
    <t>СА-19-9, контроль (3х8 мл.)</t>
  </si>
  <si>
    <t>SCC-реагент 100 тестов</t>
  </si>
  <si>
    <t>SCC-калибратор (6х4 мл.)</t>
  </si>
  <si>
    <t>SCC-контроль (3х8 мл.)</t>
  </si>
  <si>
    <t>СА-125, реагент 400 тестов</t>
  </si>
  <si>
    <t>СА-125, калибратор (6х4 мл.)</t>
  </si>
  <si>
    <t>СА-125, контроль (3х8 мл.)</t>
  </si>
  <si>
    <t>АФП (AFP), реагент 400 тестов</t>
  </si>
  <si>
    <t>АФП (AFP)-калибратор (2х4 мл.)</t>
  </si>
  <si>
    <t>АФП (AFP)-контроль (3х8 мл.)</t>
  </si>
  <si>
    <t>ProGRP - реагент  (100 тестов)</t>
  </si>
  <si>
    <t>ProGRP, калибратор (6*4 мл.)</t>
  </si>
  <si>
    <t>ProGRP, контроль (3*8 мл.)</t>
  </si>
  <si>
    <t>Cyfra 21-1 - реагент (100 тестов)</t>
  </si>
  <si>
    <t>Cyfra 21-1 -калибратор</t>
  </si>
  <si>
    <t>Cyfra 21-1 - контроль</t>
  </si>
  <si>
    <t>Пробирки для образцов 1 уп/1000 шт.        (Sample Cups)</t>
  </si>
  <si>
    <t>Иммунологический мультипараметровый контроль (Immunoassay MCC (liquid) (12х5 мл.)</t>
  </si>
  <si>
    <t>Набор реагентов для количественного иммуноферментного определения трийодтиронина в сыворотке крови человека (Т3- Имаксиз Витал) (IMAXYZ) 40 определений</t>
  </si>
  <si>
    <t>Набор реагентов для количественного для иммуноферментного определения свободного трийодтиронина в сыворотке крови человека Свободный Т3-Имаксиз Витал) (IMAXYZ)40 определений</t>
  </si>
  <si>
    <t>Набор реагентов для количественного для иммуноферментного определения аутоантител к тиреоглобулину в сыворотке крови человека атТГ-Имаксиз Витал) (IMAXYZ)40 определений</t>
  </si>
  <si>
    <t>Набор реагентов для количественного для иммуноферментного определения  тиреотропного гормона в сыворотке крови человека ТТГ-Имаксиз Витал) (IMAXYZ)40 определений</t>
  </si>
  <si>
    <t>Набор реагентов для количественного иммуноферментного определения аутоантител к тироидной пероксидазе в сыворотке крови человека (атТПО Имаксиз Витал) (IMAXYZ)40 определений</t>
  </si>
  <si>
    <t>Набор реагентов для определения вирусного гепатита «В» Имаксиз Витал(IMAXYZ)</t>
  </si>
  <si>
    <t>Набор реагентов для определения вирусного гепатита «С» Имаксиз Витал(IMAXYZ)</t>
  </si>
  <si>
    <t xml:space="preserve">Микрокюветы </t>
  </si>
  <si>
    <t>Штативы пластиковые для контейнеров Фелкон (тубос )</t>
  </si>
  <si>
    <t>Штатив для пипеток  Eppindorf</t>
  </si>
  <si>
    <t>Chek-stix combo rak для контроля</t>
  </si>
  <si>
    <t>Контрольная сыворотка на сифилис слабо-положительная фл. 1 мл., № 10</t>
  </si>
  <si>
    <t>Котрольная сыворотка на сифилис отрицательная фл. 1 мл., № 10</t>
  </si>
  <si>
    <t xml:space="preserve">Наконечники 5-300 мкл. (уп 1000 шт.) германия </t>
  </si>
  <si>
    <t>Стекло предметное с матовым краем</t>
  </si>
  <si>
    <t xml:space="preserve">меланжеры 0,1 для подчета лейкоцитов в спиномозговой жидкости </t>
  </si>
  <si>
    <t>Чашки Петри одноразовые стерильные</t>
  </si>
  <si>
    <t>Клеенка медицинская подкладочная</t>
  </si>
  <si>
    <t>Стакан высокий со шкалой В-200 мл</t>
  </si>
  <si>
    <t>краска по Романовскому (Синтакон)</t>
  </si>
  <si>
    <t>Краситель - фиксатор Май-Грюнвальда (Синтакон)</t>
  </si>
  <si>
    <t>Контейнер для транспортировки макроты  пластик.</t>
  </si>
  <si>
    <t>контейнер для транспортировки крови пластик.</t>
  </si>
  <si>
    <t xml:space="preserve">Бутыль из темного стекла 500, с закручивающей крышкой </t>
  </si>
  <si>
    <t xml:space="preserve">Бутыль из темного стекла 10 лит. с закручивающей крышкой </t>
  </si>
  <si>
    <t xml:space="preserve">Бутыль из темного стекла 5 лит. с закручивающей крышкой </t>
  </si>
  <si>
    <t>Пицент хирургический длина 20-25см</t>
  </si>
  <si>
    <t>Пицент хирургический длина 15-20 см</t>
  </si>
  <si>
    <t>Пицент хирургический длина 10-15 см</t>
  </si>
  <si>
    <t xml:space="preserve">Щетка хирургическая </t>
  </si>
  <si>
    <t xml:space="preserve">Подставка для трех дозаторов п-образной формы </t>
  </si>
  <si>
    <t>Метиленовый фиолетовый ЧДА</t>
  </si>
  <si>
    <t>Бета-нафтол</t>
  </si>
  <si>
    <t xml:space="preserve">Набор для спина мозговой жидкости </t>
  </si>
  <si>
    <t>Ксилол</t>
  </si>
  <si>
    <t>Набор для оприделение малярийного плазмодия в мазках и в толстой капле крови 500+500 опр</t>
  </si>
  <si>
    <t>1% р-р протамин сульфата ( 10*1) в амп.</t>
  </si>
  <si>
    <t>Бротимоловый синий  (Ph  мочи)</t>
  </si>
  <si>
    <t xml:space="preserve">Счетчик для лейкоформулы  механический </t>
  </si>
  <si>
    <t>Часы лабораторные с таймером</t>
  </si>
  <si>
    <t>Таймер многокональный ( 4 канала)</t>
  </si>
  <si>
    <t>Секундамер механическая заводка</t>
  </si>
  <si>
    <t>Набор контролей  RIQAS  по клинический химий  RQ 9128</t>
  </si>
  <si>
    <t>Набор контролей  RIQAS  по гематологии    RQ 9140</t>
  </si>
  <si>
    <t>Масло имерсионное  RAL</t>
  </si>
  <si>
    <t>Термоиндикатор (бумажный, клеющий) (уп. 500шт) 180</t>
  </si>
  <si>
    <t>Гигрометр ВИТ-2</t>
  </si>
  <si>
    <t>Зонд маточный обычный</t>
  </si>
  <si>
    <t>Зонд маточный нарезной</t>
  </si>
  <si>
    <t>Зеркало по Отто</t>
  </si>
  <si>
    <t>Зеркало по Симсу</t>
  </si>
  <si>
    <t>Стетоскоп</t>
  </si>
  <si>
    <t xml:space="preserve">Шприц Брауна аспирационный 2,0 </t>
  </si>
  <si>
    <t>Шприц Брауна аспирационный  5,0</t>
  </si>
  <si>
    <t xml:space="preserve">Лоточек почкообразный эмалированный </t>
  </si>
  <si>
    <t>Зажим кровоостанавливающий</t>
  </si>
  <si>
    <t>Корнцанг</t>
  </si>
  <si>
    <t>Пинцет анатоматический</t>
  </si>
  <si>
    <t>Щипцы пулевые</t>
  </si>
  <si>
    <t>Ножницы  хирургические прямые</t>
  </si>
  <si>
    <t>Набор гинекологический №1,2</t>
  </si>
  <si>
    <t xml:space="preserve">Спираль всех размеров </t>
  </si>
  <si>
    <t xml:space="preserve">Тест на беременность </t>
  </si>
  <si>
    <t>"Каутер" хирургический нож</t>
  </si>
  <si>
    <t>Электроды</t>
  </si>
  <si>
    <t>Кольпоскоп</t>
  </si>
  <si>
    <t>Инструмент для взятия биопсии Канхотом</t>
  </si>
  <si>
    <t>Металлическая емкость для стерильных шариков с крышкой</t>
  </si>
  <si>
    <t>Вазелин</t>
  </si>
  <si>
    <t>Каутер/электро нож</t>
  </si>
  <si>
    <t>Бенатекс</t>
  </si>
  <si>
    <t>Заменяемые кюветы,</t>
  </si>
  <si>
    <t xml:space="preserve">Лампа для анализатора </t>
  </si>
  <si>
    <t>Комплект заменяемых трубочек</t>
  </si>
  <si>
    <t>Комплект из 3 емкостей для моющих растворов с насадками</t>
  </si>
  <si>
    <t>Трихопол  таблетки</t>
  </si>
  <si>
    <t xml:space="preserve">Видеогастроскоп Олимпус </t>
  </si>
  <si>
    <t>Биопсийные щипцы с окном KW341R</t>
  </si>
  <si>
    <t xml:space="preserve">Загубник OF-Z5 </t>
  </si>
  <si>
    <t>Адаптер для очистки коннектора отсоса ОЕ-С8</t>
  </si>
  <si>
    <t xml:space="preserve">Биопсийные щипцы с окном </t>
  </si>
  <si>
    <t>Биопсийные щипцы "Крокодилы" КА 1811 S</t>
  </si>
  <si>
    <t>Катетер (диам. 1.8мм, длина 1100мм, серии BF) TS161S</t>
  </si>
  <si>
    <t>Катетер (диам. 1.8мм, длина 1600мм, серии  FG? EG) TS2011S</t>
  </si>
  <si>
    <t>лампочки к осветителю</t>
  </si>
  <si>
    <t>Стаканчик для сбора мокроты ФБС</t>
  </si>
  <si>
    <t xml:space="preserve">Подставка для мокроты </t>
  </si>
  <si>
    <t>Корцанг</t>
  </si>
  <si>
    <t xml:space="preserve">Мешок "Амбу" взрослый </t>
  </si>
  <si>
    <t>Монитор настенный для УЗИ</t>
  </si>
  <si>
    <t>Вакутейнеры для забора крови на электролиты</t>
  </si>
  <si>
    <t>Вакутейнеры для забора крови на биохимический анализ</t>
  </si>
  <si>
    <t>Вакутейнеры для забора крови на коагулограмму</t>
  </si>
  <si>
    <t>Вакутейнеры для забора крови на ОАК</t>
  </si>
  <si>
    <t>Вакутейнеры для забора крови на ВИЧ</t>
  </si>
  <si>
    <t xml:space="preserve">Викрил №1 (2,5м ) W9001 без иголки </t>
  </si>
  <si>
    <t xml:space="preserve">Викрил №0-75см,  W 9138,31мм 1\2 с режущей иглой </t>
  </si>
  <si>
    <t>Пролен №3-0 W8522,90 см с колющей иглой 25мм</t>
  </si>
  <si>
    <t>Пролен №4-0 W8522,90 см с колющей иглой 26мм</t>
  </si>
  <si>
    <t>Капрон № 2-0 крученая,  HR-30 с колющей иглой, 75 см</t>
  </si>
  <si>
    <t>Лавсон № 1 HR-30 c колющей иглой, 75 см</t>
  </si>
  <si>
    <t>Лавсон № 1 HR-20 c колющей иглой, 75 см</t>
  </si>
  <si>
    <t>Лавсон № 0  HR-30 c колющей иглой, 75 см</t>
  </si>
  <si>
    <t xml:space="preserve">TI- CRON  № 0-250 см - без иглой, 75 см </t>
  </si>
  <si>
    <t>Polyester USP 2 (5 metrik) - 150 см</t>
  </si>
  <si>
    <t>устройства для активного дренирования ран однократного применения с баллоном вместимостью 500 см3</t>
  </si>
  <si>
    <t>Лопатодержатель</t>
  </si>
  <si>
    <t>Палочка Буяльского- 300мм</t>
  </si>
  <si>
    <t>Аппарат Электрохирургический Force FXc принадлежностями, Китай для "Ковидиен" ЛЛС, США</t>
  </si>
  <si>
    <t>Сшиватель-ушиватель (СУ-80), "Уникон", Россия, Челябинская область , г Миасс</t>
  </si>
  <si>
    <t>Ушиватель  органов (УО- 40) "Красногвардеец" г. Санкт-Петербург</t>
  </si>
  <si>
    <t>Сосудистые зажимы длинные, 260 мм</t>
  </si>
  <si>
    <t>Ножницы  длинные тупоконечные, 260</t>
  </si>
  <si>
    <t>К83 кусачки реберные универсальные с изогнутым ножом L-285  mm, 111 4\1</t>
  </si>
  <si>
    <t>Распатрон Дуаэна правый 160 mm</t>
  </si>
  <si>
    <t>Распатрон Дуаэна плевый 160 mm</t>
  </si>
  <si>
    <t>Игла для пневмоперитонеума , Step 14 G (Одноразовая) для  ВИЧ инфицированных больных</t>
  </si>
  <si>
    <t>Игла  пневмоперитонеума Uersaster Reposable  многоразовая  14-G</t>
  </si>
  <si>
    <t>Иглы для плевральной пункции</t>
  </si>
  <si>
    <t>Инструменты хирургические сшивающие серии GIA ( Универсальный эндоскопический сшивающий аппарат с механизмом поворота и изгиба рабочей части, для прямых и изгибаемых кассет 30,45,60мм.) код каталога 030449</t>
  </si>
  <si>
    <t xml:space="preserve">Кассеты для зарядки инструментов хирургических сшивающих серии  GIA (изгибаемая , 60мм., 6- рядов скобок   Tri-staple, нож, для нормальной\ утолщенной ткани, 12 мм., цфет филолетовый **6** EGIA60AMT   </t>
  </si>
  <si>
    <t>одноразовый контейнер для препарата EndoCatch tm 15мм. 5*х9* контейнер для препарата, обьема 1500 мл., длина штока 29,5 см., 3 штуки в упаковке. Код каталога 173049</t>
  </si>
  <si>
    <t xml:space="preserve">одноразовый контейнер для препарата EndoCatch tm 10мм. 2,5*х6* контейнер для препарата, обьема 100 мл., длина штока 29,5 см., 6 штуки в упаковке. Код каталога 173050 </t>
  </si>
  <si>
    <t>Оптика жесткая со стеклянными линзами, (стержне- линзовая) HOPKINS Endo CAMeleon  для кардиоторакальной хирургии, диаметр 10мм, длина 32 см, изменяемый угол образа 0-120 град., крутящееся кальцо управления углом образа, встроенный стекловолоконный световод. цветовой код: золотой. артикул 49003</t>
  </si>
  <si>
    <t xml:space="preserve">BD Bactec MGIT Tube  пробирка ( 1 уп. 100шт.) для посева 1000 иссл. </t>
  </si>
  <si>
    <t>Bd MycoPrep для пробоподготовки образцов (1 набор на 150 иссл.) для посева 2400 иссл.</t>
  </si>
  <si>
    <t>Bd Bactec MGIT Supplement kit, набор саплимента  ( 1 набор на 100 иссл.) для посева 1000 иссл.</t>
  </si>
  <si>
    <t xml:space="preserve">Bd Bactec MGIT SIRE,  набор оприделения чувствительности к антибиотикам   ( 1 набор на 40 тестов) </t>
  </si>
  <si>
    <t xml:space="preserve">тест полски для идентификации микробактерий туберкулеза </t>
  </si>
  <si>
    <t>набор калибраторов</t>
  </si>
  <si>
    <t>GenoType MTBC (для молекулярно- генетического определения комплекса микробактерий туберкулеза в культуральном материале)</t>
  </si>
  <si>
    <t>GenoType Mycobacterium AS  (для молекулярно- генетических исследований по идентификации  видов микробактерий культуральном материале)</t>
  </si>
  <si>
    <t>GenoType Mycobacterium AM  (для молекулярно- генетических исследований по определению клинически наиболее связанных видов микробактерий в культуральном образце)</t>
  </si>
  <si>
    <t>GenoType MTBDRplus  (для молекулярно- генетических исследований по идентификации  резистентности комплекса микробактерий  туберкулеза к рефампицину и изониазиду)</t>
  </si>
  <si>
    <t>GenoType MTBDRsl   (для молекулярно- генетических исследований по идентификации  резистентности комплекса микробактерий  туберкулеза к фторхинолонам и\или аминогликозидам, \ этамбутолу)</t>
  </si>
  <si>
    <t>GenoLyse ( набор реактивов для химического выделения ДНК)</t>
  </si>
  <si>
    <t>Гемоглабин сухой, растворимый, п=во Хай-медиа</t>
  </si>
  <si>
    <t>Агар Эндо п-во хай-медиа</t>
  </si>
  <si>
    <t>Маннит</t>
  </si>
  <si>
    <t xml:space="preserve">Тиоглюколь, пр-во Хай-медиа </t>
  </si>
  <si>
    <t>Питательная среда для чувствительности к антибиотикам</t>
  </si>
  <si>
    <t>Кроличий сывротока , п-во Хай-медиа</t>
  </si>
  <si>
    <t>Диски с рифампицином</t>
  </si>
  <si>
    <t xml:space="preserve">Диски с цефтриаксоном </t>
  </si>
  <si>
    <t>Диски с метрогилом</t>
  </si>
  <si>
    <t>Диски с амфотерицином</t>
  </si>
  <si>
    <t>диски с канамицином</t>
  </si>
  <si>
    <t>диски с кларитромицином</t>
  </si>
  <si>
    <t>диски с метронидозолом</t>
  </si>
  <si>
    <t>диски с флюконазолом</t>
  </si>
  <si>
    <t>диски с азитромицином</t>
  </si>
  <si>
    <t xml:space="preserve">диски с клотримазолом </t>
  </si>
  <si>
    <t>диски с кетоконазолом</t>
  </si>
  <si>
    <t>диски с нистатином</t>
  </si>
  <si>
    <t>диски с стрептомицином</t>
  </si>
  <si>
    <t>диски с итканазолом</t>
  </si>
  <si>
    <t>диски с ванкомицином</t>
  </si>
  <si>
    <t>диски с ампецилином</t>
  </si>
  <si>
    <t xml:space="preserve">диски с цефамандолом </t>
  </si>
  <si>
    <t xml:space="preserve">диски с интраконазолом </t>
  </si>
  <si>
    <t>Краска по Грамму</t>
  </si>
  <si>
    <t>Стеклянные палочки</t>
  </si>
  <si>
    <t>Чашка Петрия (Одноразовые, стир.)</t>
  </si>
  <si>
    <t>Петли микробиологические металлические, нихомовая диам. 3 мм</t>
  </si>
  <si>
    <t>Реагент  для биохимических исслед. Крови AST\GOT 400 Т для анализатора Gobas C111+2+8 C</t>
  </si>
  <si>
    <t>Реагент  для биохимических исслед. Крови ALT\GPT 400 Т для анализатора Gobas C111+2+8 C</t>
  </si>
  <si>
    <t>Реагент  для биохимических исслед. Крови Total bilirubin 400 Т (Общий билирубин) для анализатора Gobas C111+2+8 C</t>
  </si>
  <si>
    <t>Реагент  для биохимических исслед. Крови Total bilirubin 400 Т (Общий белок) для анализатора Gobas C111+16+25 C</t>
  </si>
  <si>
    <t>Реагент  для биохимических исслед. Крови Urea 400 Т (мочевина) для анализатора Gobas C111+2+8 C</t>
  </si>
  <si>
    <t>Реагент  длянаучных исследований Glucose  400 Т  для анализатора Gobas C111+2+8 C</t>
  </si>
  <si>
    <t>Набор реагентов для анализатора Cobas C 111 Crea PAP 400 T ( Креатинин) +2+8 С</t>
  </si>
  <si>
    <t>Контроль универсальный норма U плюс Precinorm U plus в уп. 10фл по 3 мл.+2+8 С</t>
  </si>
  <si>
    <t>Контроль универсальный потология U плюс Precipath U plus в уп. 10фл по 3 мл.+2+8 С</t>
  </si>
  <si>
    <t>Калибратор для автоматических систем Calibrator f,a,s, U plus в уп. 12 фл по 3 мл.+2+8 С</t>
  </si>
  <si>
    <t>Очищающий раствор 1 л +15+25С</t>
  </si>
  <si>
    <t>Дилюент 9% NaCL +2+8 C</t>
  </si>
  <si>
    <t>Микро кюветы ( в уп 1680 шт_)</t>
  </si>
  <si>
    <t>Очищающий раствор  Cobas C111+15+25C</t>
  </si>
  <si>
    <t>Термобумага для анализаторов ( Элексис 1010, start Cobas C111) 5шт/упак. 110 мл</t>
  </si>
  <si>
    <t>Activator ( Roche Diagnostics Gmbh firm, Germany, Германия )</t>
  </si>
  <si>
    <t>Иголка для кобаса С111</t>
  </si>
  <si>
    <t>ISE Deproteinizer ( Roche Diagnostics Gmbh firm, Cermany )</t>
  </si>
  <si>
    <t>Cobas sample cup 5000 pcs пробирки для образцов ( 1 уп 5000 шт)</t>
  </si>
  <si>
    <t>Лампочка для кобаса С111</t>
  </si>
  <si>
    <t>питательная среда Левенштейна - Йенсена ф. Титан - Медиа 500,0 ТМ 375</t>
  </si>
  <si>
    <t xml:space="preserve">Гемоглабин 400 Lachema </t>
  </si>
  <si>
    <t>Кардиолипиновый антиген</t>
  </si>
  <si>
    <t xml:space="preserve">Глецерин не стерильный </t>
  </si>
  <si>
    <t>366593 BD Vacutainer вакутейнер Ланцет пластиковый</t>
  </si>
  <si>
    <t>Термобумага для мочевого анализатора  "Urisys 1100"</t>
  </si>
  <si>
    <t xml:space="preserve">Тест- полоски к мочевому анализатору  "Urisys 1100" </t>
  </si>
  <si>
    <t xml:space="preserve">Тест- полоски контрольные для  мочевого анализатора  "Urisys 1100" </t>
  </si>
  <si>
    <t>краска по Май-Грюнвальду</t>
  </si>
  <si>
    <t>Масло имерсионное</t>
  </si>
  <si>
    <t>Латок для стерилизатора ( 25*30см)</t>
  </si>
  <si>
    <t>Щетная камера</t>
  </si>
  <si>
    <t>Колба коническая с делением термостойкая на 1000м</t>
  </si>
  <si>
    <t>Колба плоскодонная термостойкая на 1000 мл</t>
  </si>
  <si>
    <t xml:space="preserve">Колпачки аэрозольные для центрифуги Centra CL3R </t>
  </si>
  <si>
    <t>набор крас. По Ц-Н ( 0,3% основной фуксина, 3% солянокислый спирт, 3% метил, синий по лефлеру) ф, Най-Медиа</t>
  </si>
  <si>
    <t>Ножницы мед,металлические с длиной браншей не менее 10 см</t>
  </si>
  <si>
    <t>петли бактериологич. Одноразовые №20, диаметр лупы 3,0мм</t>
  </si>
  <si>
    <t>пипетка Пастера градуированная на 1,0 мл, стер,однораз. В инд.,уп</t>
  </si>
  <si>
    <t>пипетка 1мл, градированная серологическая в инд.упак</t>
  </si>
  <si>
    <t>Пробирка ПХ 16 с закручивающимся крышками</t>
  </si>
  <si>
    <t>Стаканы термостойкие на 100 мл</t>
  </si>
  <si>
    <t>Стаканы термостойкие на 1000 мл</t>
  </si>
  <si>
    <t>Стаканы термостойкие на 800 мл</t>
  </si>
  <si>
    <t>Блок питания для пипетаторов Accu-jet</t>
  </si>
  <si>
    <t xml:space="preserve">упак. Материал для стер.10*100 для сухажиравой стерилизации </t>
  </si>
  <si>
    <t xml:space="preserve">упак. Материал для стер.15*100 для сухажиравой стерилизации </t>
  </si>
  <si>
    <t xml:space="preserve">упак. Материал для стер.25*100 для сухажиравой стерилизации </t>
  </si>
  <si>
    <t>штук</t>
  </si>
  <si>
    <t>коробка</t>
  </si>
  <si>
    <t>таб/капс</t>
  </si>
  <si>
    <t>комп</t>
  </si>
  <si>
    <t>фл/амп</t>
  </si>
  <si>
    <t>фл/ амп</t>
  </si>
  <si>
    <t>капс/таб</t>
  </si>
  <si>
    <t>пак</t>
  </si>
  <si>
    <t>драже/таб</t>
  </si>
  <si>
    <t>Фл</t>
  </si>
  <si>
    <t>флакон</t>
  </si>
  <si>
    <t xml:space="preserve">банка                      </t>
  </si>
  <si>
    <t>канистра</t>
  </si>
  <si>
    <t>флакон с дозатором</t>
  </si>
  <si>
    <t>5 литров</t>
  </si>
  <si>
    <t>ведерко</t>
  </si>
  <si>
    <t>балон</t>
  </si>
  <si>
    <t>комплект</t>
  </si>
  <si>
    <t>метр</t>
  </si>
  <si>
    <t>гр</t>
  </si>
  <si>
    <t>литер</t>
  </si>
  <si>
    <t>каробка</t>
  </si>
  <si>
    <t xml:space="preserve">каробка </t>
  </si>
  <si>
    <t>мл</t>
  </si>
  <si>
    <t>карт</t>
  </si>
  <si>
    <t>наб</t>
  </si>
  <si>
    <t>Итого сумма без НДС</t>
  </si>
  <si>
    <t>Спиртовые салфетки 4см х 4 см онократного применения №200</t>
  </si>
  <si>
    <t>Лейкопластырь 2,5 х 500см  ( на тканьевой основе)</t>
  </si>
  <si>
    <t>Гемостатический пластырь 40мм х 120 мм ( бежевый)</t>
  </si>
  <si>
    <t>Принтерная бумага для моечной машины HRQX-280</t>
  </si>
  <si>
    <t>Щетка для протирания кювет на моечной станции, 1шт</t>
  </si>
  <si>
    <t>порошок для приготовления раствора для инфузий , 250мг</t>
  </si>
  <si>
    <t>р-р для инъекций 1мг/мл</t>
  </si>
  <si>
    <t>порошок для приготовления раствора для инъекций 1000 мг</t>
  </si>
  <si>
    <t>порошок для приготовления раствора для инъеций, 600мг</t>
  </si>
  <si>
    <t>Порошок лиофилизированный для приготовления раствора для внутривенного и внутримышечного введения 500мг</t>
  </si>
  <si>
    <t>таблетка/ капсула, 500 мг</t>
  </si>
  <si>
    <t>порошок лиофилизированный для приготовления раствора для внутривенных инфузий 500 мг</t>
  </si>
  <si>
    <t>раствор для инъекций 150мг/3 мл</t>
  </si>
  <si>
    <t xml:space="preserve">Альбумин 10%50мл раст.д/инф. </t>
  </si>
  <si>
    <t>раствор для инъекций 15мг/2 мл</t>
  </si>
  <si>
    <t>раствор для инфузий 5% 100мл</t>
  </si>
  <si>
    <t>Раствор для инъекций 2,4% 5 мл</t>
  </si>
  <si>
    <t>порошок лиофилизированный для приготовления раствора для инъекций 10000 АТрЕ во флаконах</t>
  </si>
  <si>
    <t>раствор для инъекций 5% 2мл</t>
  </si>
  <si>
    <t>таблетки, 400 мг</t>
  </si>
  <si>
    <t>раствор для инфузий 10% 500мл</t>
  </si>
  <si>
    <t>раствор для инфузий 6% 500мл</t>
  </si>
  <si>
    <t>Порошок для приготовления р-р для инъекций 1 000 000ЕД</t>
  </si>
  <si>
    <t>7*14</t>
  </si>
  <si>
    <t>капсула, 150мг</t>
  </si>
  <si>
    <t>р-р для инъекций  4%,  2,0 мл</t>
  </si>
  <si>
    <t>р-р для инъекций 5000 МЕ/мл, 5мл</t>
  </si>
  <si>
    <t>р-р для инъекций 4мг/мл 1 мл</t>
  </si>
  <si>
    <t>р-р для инфузий 10% 200 мл</t>
  </si>
  <si>
    <t>р-р для инъекций 0,25мг/мл 1 мл</t>
  </si>
  <si>
    <t>раствор для инъекций 40%20мл</t>
  </si>
  <si>
    <t>таблетка, 10мг</t>
  </si>
  <si>
    <t>р-р д/инъекций 40мг/мл 5мл</t>
  </si>
  <si>
    <t>раствор для инъекций 75мг/3мл, 75мг/2мл</t>
  </si>
  <si>
    <t>таблетка,80 мг</t>
  </si>
  <si>
    <t>раствор для инъекций 2% 2 мл</t>
  </si>
  <si>
    <t>раствор для инъекций в ампуле 4% 5мл</t>
  </si>
  <si>
    <t>раствор для инъекций в ампуле 0,5% 5мл</t>
  </si>
  <si>
    <t>таблетка, 320 мг/60 мг</t>
  </si>
  <si>
    <t>стерильный однаразового применения</t>
  </si>
  <si>
    <t>100шт/упак</t>
  </si>
  <si>
    <t>раствор 100 ед/мл по 3 мл в заправленных шприц-ручках</t>
  </si>
  <si>
    <t>суспензия 100 ед/мл в картриджах по 3 мл в комплекте со шприц-ручками из расчета на 75 картриджей 1 шприц-ручка с шагом 1 ЕД. Возможны поставки не в картриджах, а в уже заправленных шприц - ручках, в этом случае шприц - ручки к инсулину не нужны</t>
  </si>
  <si>
    <t>раствор 100 ед/мл в картриджах по 3 мл в комплекте со шприц-ручками из расчета на 75 картриджей 1 шприц-ручка с шагом 0,5 ЕД</t>
  </si>
  <si>
    <t>суспензия  100ед/мл во  флаконах, 10 мл</t>
  </si>
  <si>
    <t>раствор для инъекций 100 мг /мл 150,0</t>
  </si>
  <si>
    <t>концентрат для приготовления раствора для инфузий 1мг/мл, 10 мл</t>
  </si>
  <si>
    <t>раствор для инъекций 300мг/мл, 20 мл</t>
  </si>
  <si>
    <t>раствор для инъекций 100 мг /2мл</t>
  </si>
  <si>
    <t>р-р для инфузий по 250мл</t>
  </si>
  <si>
    <t>р-р для инъекций 10%, 5 мл</t>
  </si>
  <si>
    <t>капсулы</t>
  </si>
  <si>
    <t>порошок для приготовления раствора для инъекций</t>
  </si>
  <si>
    <t xml:space="preserve">капсулы </t>
  </si>
  <si>
    <t>таблетка, 200мг</t>
  </si>
  <si>
    <t>р-р 500мл</t>
  </si>
  <si>
    <t>диаметр 1,0мм, однократного применения</t>
  </si>
  <si>
    <t>диаметр 1,4 мм, однократного применения</t>
  </si>
  <si>
    <t>таблетка 100мг</t>
  </si>
  <si>
    <t>р-р для внутримышечных инъекций 30мг/мл, 1мл</t>
  </si>
  <si>
    <t>1.простыня с липким краем, пл.40-2шт: 2.салфетка с липким краем, пл.40-2шт.</t>
  </si>
  <si>
    <t xml:space="preserve">1. Зеркало Куско L: 2. Перчатки размер M: 3. шпатель гинекологический: 4. Салфетка бумажная стерильная: 5. Салфетка нетканная. </t>
  </si>
  <si>
    <t xml:space="preserve">1. Зеркало Куско S: 2. Перчатки размер M: 3. шпатель гинекологический: 4. Салфетка бумажная стерильная: 5. Салфетка нетканная. </t>
  </si>
  <si>
    <t xml:space="preserve">1. Зеркало Куско M: 2. Перчатки размер M: 3. шпатель гинекологический: 4. Салфетка бумажная стерильная: 5. Салфетка нетканная. </t>
  </si>
  <si>
    <t>1. Пеленка с липким краем 0,7м х 0,8м, пл.42 г/м кв.-1 шт, 2. Пеленка с липким краем 2,0м х 1,4м, пл,42 г/м кв.-1 шт.3. Ппленка многослойная 0,6 м х 0,6 м, пл.50 г/м кв. -1 шт. 4. Салфетка 0,8 м х 0,7 м,пл. 25 г/м кв-1 шт.</t>
  </si>
  <si>
    <t>1. халат медицинский пл.25 г/м кв.-1 шт: 2. Пилотка - колпак пл.42 г/м кв.-1 шт. 3. бахилы высокие пл.42 г/м кв. - 1 пара: 4. Маска медицинская трехслойная -1 шт.</t>
  </si>
  <si>
    <t>1. Костюм хирургический (Рубашка, брюки) пл.42 г/м кв.-1шт, 2. Бахилы высокие пл. 42 г/м 42 кв.- 1 пара: 3. Маска медицинская трехслойная -1 шт, 4. пилотка- колпак пл.42 г/м кв. - 1 шт.</t>
  </si>
  <si>
    <t>100 мл</t>
  </si>
  <si>
    <t>нестерильный. Брюки+ рубашка пл.28 и 40 гр. Кв/м</t>
  </si>
  <si>
    <t>сироп 667 г/л по 500мл</t>
  </si>
  <si>
    <t xml:space="preserve">р-р для инъекций 2% 2 мл </t>
  </si>
  <si>
    <t>лиофилизат для приготовления раствора для внутривенного и внутримышечного введения, 8 мг</t>
  </si>
  <si>
    <t>капсула 250мг</t>
  </si>
  <si>
    <t>хирургическая, противожидкостная, противотуберкулезная из нетканого материала (пленка Лонцет)</t>
  </si>
  <si>
    <t>15%-200,0</t>
  </si>
  <si>
    <t>р-р для инъекций 0,5% 2 мл</t>
  </si>
  <si>
    <t>таблетка</t>
  </si>
  <si>
    <t xml:space="preserve"> порошок для приготогвления раствора для иньекций 1,0 г</t>
  </si>
  <si>
    <t>раствор для инъекций 50 % 2 мл</t>
  </si>
  <si>
    <t>0,5% 100мл</t>
  </si>
  <si>
    <t>раствор для внутривенного введения 300 мг/мл 10 мл</t>
  </si>
  <si>
    <t>раствор для инъекций 0,9%, 10 мл</t>
  </si>
  <si>
    <t>таблетка,400 мг</t>
  </si>
  <si>
    <t>капсулы кишечнорастворимые  20 мг</t>
  </si>
  <si>
    <t>таблетки покрытые  кишечнорасворимой  оболочкой 10000 ЕД</t>
  </si>
  <si>
    <t>капсула в кишечнорастворимой оболочке, содержащие минимикросферы, 300 мг</t>
  </si>
  <si>
    <t>р-р для инъекций 2% 5мл</t>
  </si>
  <si>
    <t>размерами: 5-6  (XS)</t>
  </si>
  <si>
    <t>размерами: 8-9 (L)</t>
  </si>
  <si>
    <t>размерами: 7-8 (M)</t>
  </si>
  <si>
    <t>размерами: 6-7 (S)</t>
  </si>
  <si>
    <t>размерами: 8,5 с длинной манжетой анатомической формы</t>
  </si>
  <si>
    <t>размерами: 7,5с длинной манжетой анатомической формы</t>
  </si>
  <si>
    <t>размерами: 6,5 с длинной манжетой анатомической формы</t>
  </si>
  <si>
    <t>размерами: 8,0 с длинной манжетой анатомической формы</t>
  </si>
  <si>
    <t xml:space="preserve">р-р для инъекций 400 мг/5мл 5 мл </t>
  </si>
  <si>
    <t>5%1мл</t>
  </si>
  <si>
    <t>порошок лиофилизированный для инъекций , 4 мг</t>
  </si>
  <si>
    <t>раствор для инъекций 20% 5 мл</t>
  </si>
  <si>
    <t>р-р для наружного применения 1 л</t>
  </si>
  <si>
    <t>таблетка, 5мг</t>
  </si>
  <si>
    <t>р-р для инъекций 30мг/мл, 1 мл</t>
  </si>
  <si>
    <t>р-р для внутривенного введения 100 мг/2 мл с наличием терапевтического показания к лечению анемии беременных</t>
  </si>
  <si>
    <t>р-р для инъекций 0,5% по 5 мл</t>
  </si>
  <si>
    <t>эмульсия для  внутривенного введения 10 мг/ мл, 20 мл.</t>
  </si>
  <si>
    <t xml:space="preserve">р-р для внутривенного введения 10 мг/мл 5 мл </t>
  </si>
  <si>
    <t>аэрозоль 100мкг/ доза. 200 доз</t>
  </si>
  <si>
    <t xml:space="preserve">для переливания крови </t>
  </si>
  <si>
    <t>для инфузий</t>
  </si>
  <si>
    <t>стерильный додноразового применения копье</t>
  </si>
  <si>
    <t>одноразовый безболезненый автоматический стерильный с глубиной прокола 1,2 мм с иглой 18 G</t>
  </si>
  <si>
    <t>одноразовый безболезненый автоматический стерильный с глубиной прокола 1,8 мм с иглой 21 G</t>
  </si>
  <si>
    <t>капсула, 100 мг</t>
  </si>
  <si>
    <t>р-р для инфузий 4% 500,0 мл</t>
  </si>
  <si>
    <t>таблетка 480 мг</t>
  </si>
  <si>
    <t xml:space="preserve">раствор для инъекций 5%, 1мл </t>
  </si>
  <si>
    <t>таблетка пролонгированного действия/ капсула пролонгированного действия, 300 мг</t>
  </si>
  <si>
    <t>тест полосы №50+ Глюкометр электрохимический  без кодирования, укомплектованный индивидуальным прибором для забора крови и ланцетой одноразовой, с фултляром/ на 10 упаковок + контрольный раствор глюкозы</t>
  </si>
  <si>
    <t>таблетка, 50 мг</t>
  </si>
  <si>
    <t>капсула, 250 мг</t>
  </si>
  <si>
    <t>р-р для внутривенного ввидения 5 мг/мл, 5 мл</t>
  </si>
  <si>
    <t>порошок лиофилизированный для приготовления раствора для инъекций, 20 мг</t>
  </si>
  <si>
    <t>капсула/ таблетка 150мг</t>
  </si>
  <si>
    <t>капсула/ таблетка 100мг</t>
  </si>
  <si>
    <t>раствор для инфузий 2мг/мл 100 мл  во флаконе во флаконе ,</t>
  </si>
  <si>
    <t xml:space="preserve"> раствор для иньекций в ампулах 1% 2мл</t>
  </si>
  <si>
    <t>капсула, 20 мг</t>
  </si>
  <si>
    <t>таблетка,5 мг</t>
  </si>
  <si>
    <t>гранулы для приготовления раствора для приема внутрь в пакетах, 3 г</t>
  </si>
  <si>
    <t>р-р для инъекций 20мг/мл, 1 мл</t>
  </si>
  <si>
    <t>драже/таблетка, 25 мг</t>
  </si>
  <si>
    <t>порошок для приготовления раствора для иньекций  во флаконе  1000 мг</t>
  </si>
  <si>
    <t>порошок для приготовления раствора для иньекций  1000мг</t>
  </si>
  <si>
    <t xml:space="preserve">раствор для иньекций  500мкг/мл  1мл в ампулах </t>
  </si>
  <si>
    <t>порошок для приготовления раствора для инъекций, 1000 мг</t>
  </si>
  <si>
    <t>р-р для инфузий 200мг/ 100мл, 100 мл</t>
  </si>
  <si>
    <t>раствор для внутривенного и внутримышечного введения 1000 мг/4,0 мл</t>
  </si>
  <si>
    <t>стерильный одноразового применения, пластиковый с одной светодиодной подсветкой на 100 штук шпателя</t>
  </si>
  <si>
    <t>10мл 3-х компонентные</t>
  </si>
  <si>
    <t>2мл 3-х компонентные</t>
  </si>
  <si>
    <t>20мл 3-х компонентные</t>
  </si>
  <si>
    <t>5мл 3-х компонентные</t>
  </si>
  <si>
    <t>Шприц , который снабжен устройством, блокирующим повторное движение поршня, саморазрушающийся, объемом 1,0 мл</t>
  </si>
  <si>
    <t>5мг</t>
  </si>
  <si>
    <t>раствор для внутривенного введения 250 мг/5мл, 5 мл</t>
  </si>
  <si>
    <t>12,5% 2мл</t>
  </si>
  <si>
    <t>р-р для внутривенного ввидения 1,25 мг/мл, 1 мл</t>
  </si>
  <si>
    <t>р-р для инъекций 0,18% 1 мл</t>
  </si>
  <si>
    <t xml:space="preserve">лиофилизат для приготовления раствора для внутривенного и внутримышечных инъекций, 1000мг </t>
  </si>
  <si>
    <t>Кислород</t>
  </si>
  <si>
    <t>Агар Эндо 500гр</t>
  </si>
  <si>
    <t>Плазма-контрольная (норма)</t>
  </si>
  <si>
    <t xml:space="preserve">Тест-полоски (1 уп./100 шт.) </t>
  </si>
  <si>
    <t>Наконечники 5-300 мкл. (уп 1000 шт.) Германия</t>
  </si>
  <si>
    <t>Термометры для сухожаровых шкафов</t>
  </si>
  <si>
    <t>Шприц  многоразовый</t>
  </si>
  <si>
    <t>Видеогастроскоп Олимпус  (Япония)</t>
  </si>
  <si>
    <t xml:space="preserve">Желудочный зонд </t>
  </si>
  <si>
    <t>размер СН-20</t>
  </si>
  <si>
    <t>Катетеры для аспирации с ваккум-контролом</t>
  </si>
  <si>
    <t>№16 ,№14</t>
  </si>
  <si>
    <t>Конфуигурируемое контуры с угловым соединителем без влагосборников  (одноразовые)</t>
  </si>
  <si>
    <t xml:space="preserve">2,0м </t>
  </si>
  <si>
    <t xml:space="preserve">Мочевые катетры Фоллея двухходовые </t>
  </si>
  <si>
    <t>размеры 12, 14, 16, 18</t>
  </si>
  <si>
    <t>Интубационные трубки с манжеткой</t>
  </si>
  <si>
    <t>7,0  7,5  8,0  8,5   9,0  9,5</t>
  </si>
  <si>
    <t xml:space="preserve">Двух просветные интубационные трубки с манжеткой </t>
  </si>
  <si>
    <t>Правосторонний, левосторонний   размеры 35,37,38</t>
  </si>
  <si>
    <t>Ларингеальная маска</t>
  </si>
  <si>
    <t>3,0  4,0  5,0</t>
  </si>
  <si>
    <t>Надгортанный воздуховод I-Gel</t>
  </si>
  <si>
    <t>Трахеостомические трубки с манжеткой</t>
  </si>
  <si>
    <t>Набор для катетеризации центральной вены однапросветные</t>
  </si>
  <si>
    <t>G14</t>
  </si>
  <si>
    <t>in</t>
  </si>
  <si>
    <t>Набор для катетеризации центральной вены двухпросветные</t>
  </si>
  <si>
    <t>G14 НК- Х7030</t>
  </si>
  <si>
    <t>Трехходовые краники для регулирования потока раствора</t>
  </si>
  <si>
    <t>Спинальная игла Ланцет ("Квинке") тип Карандаш без интродюсеом</t>
  </si>
  <si>
    <t>G 20, G21, G22, G24</t>
  </si>
  <si>
    <t>Конфигурирумые соединители (гофрированные)</t>
  </si>
  <si>
    <t>15М-22М/ 15F с портом 7,6мм</t>
  </si>
  <si>
    <t>Конфигурирумые дыхательные контур Compact II</t>
  </si>
  <si>
    <t>Двухшарнирный  Ү- образный коннектор с портом 7,6мм</t>
  </si>
  <si>
    <t>Адаптер для контура с одним проводом нагрева</t>
  </si>
  <si>
    <t>Камеры увлажнителя для заполнение вручную</t>
  </si>
  <si>
    <t>Система ручной вентияции легких "АМБУ"</t>
  </si>
  <si>
    <t>1,0л</t>
  </si>
  <si>
    <t>Одноразовые кленки для Ларингоскопа фиброоптические Макинтоша</t>
  </si>
  <si>
    <t>размеры 3,0 ,   4,0</t>
  </si>
  <si>
    <t>Анестезиологическая маска QuadraLife EkoMask MK,II</t>
  </si>
  <si>
    <t>22 F зелен,  22F оранжев.</t>
  </si>
  <si>
    <t>Дыхательные фильтры Clear-Guard3  и угловой фильтр  Clear-Guard3</t>
  </si>
  <si>
    <t>Количество в каробке 70 шт</t>
  </si>
  <si>
    <t>Тепловлагообменник Hydro-Trach T</t>
  </si>
  <si>
    <t xml:space="preserve">Канюля для периферических вен Cathy </t>
  </si>
  <si>
    <t>G 16 серый, G 18 зеленый , G20 розовый, G 22 синий</t>
  </si>
  <si>
    <t>ид.измер.</t>
  </si>
  <si>
    <t>количество</t>
  </si>
  <si>
    <t>цена</t>
  </si>
  <si>
    <t xml:space="preserve">сумма </t>
  </si>
  <si>
    <t>№             от   15.01.15 г.</t>
  </si>
  <si>
    <t>Приобретение медикаментов и изделии мед.назначения</t>
  </si>
  <si>
    <t>Способ закупа</t>
  </si>
  <si>
    <t>ценов.предл. без прим постановл. №1729</t>
  </si>
  <si>
    <r>
      <t>АТ-Туб-Бест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 (96 опр.)</t>
    </r>
  </si>
  <si>
    <t>Петля бактериальная PS, одноразовые 1 мкл., зеленая пластиковая (нейтрального цвета упак 5 шт)</t>
  </si>
  <si>
    <t>Стаканы термостойкие на 200 мл (250)</t>
  </si>
  <si>
    <t>И.о главного бухгалтера   Алимбаева З.С</t>
  </si>
  <si>
    <t>Бухгалтер по гос.закупкам   Шакерова Б.Е</t>
  </si>
  <si>
    <t>запрос ценовых предложении посредством электронный закуп</t>
  </si>
  <si>
    <t>п</t>
  </si>
  <si>
    <t>Салфетки однаразовые для дизинфекции</t>
  </si>
  <si>
    <t>Лейкопластырь 1,25 х500см</t>
  </si>
  <si>
    <t>Лейкопластырь 1,25х500см</t>
  </si>
  <si>
    <t>Р-р глюкоза 5% -250,0 стер</t>
  </si>
  <si>
    <t>размерами: 7-8 (М)</t>
  </si>
  <si>
    <t>размерами: 7-8 (Л)</t>
  </si>
  <si>
    <t>капсула</t>
  </si>
  <si>
    <t>упак(ассорти)</t>
  </si>
  <si>
    <t>Набор реагентов для количественного иммуноферментного определения свободного тироксина в сыворотке крови человека ( Свободный Т4-Имаксиз Витал) (IMAXYZ)96 определений</t>
  </si>
  <si>
    <t>Н+RC:R[4]Cабор реагентов для количественного иммуноферментного определения общего тироксина в сыворотке крови человека (Т4-Имаксиз Витал) (IMAXYZ) 96 определений</t>
  </si>
  <si>
    <t>Набор реагентов для количественного иммуноферментного определения трийодтиронина в сыворотке крови человека (Т3- Имаксиз Витал) (IMAXYZ) 96 определений</t>
  </si>
  <si>
    <t>Набор реагентов для количественного для иммуноферментного определения свободного трийодтиронина в сыворотке крови человека Свободный Т3-Имаксиз Витал) (IMAXYZ)96 определений</t>
  </si>
  <si>
    <t>Микрокюветы HemoCue Hb 201 (уп.100шт)</t>
  </si>
  <si>
    <t>Реагент  для биохимических исслед. Крови Total bilirubin 400 ТP (Общий билирубин) для анализатора Gobas C111+2+8 C</t>
  </si>
  <si>
    <t xml:space="preserve">                                                                            Утвержденный  годовой план по лекарствам и изделии мед.назначения  на 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</si>
</sst>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7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/>
    <xf numFmtId="0" fontId="0" fillId="3" borderId="0" xfId="0" applyFill="1"/>
    <xf numFmtId="0" fontId="3" fillId="4" borderId="1" xfId="0" applyFont="1" applyFill="1" applyBorder="1" applyAlignment="1">
      <alignment horizontal="center" wrapText="1"/>
    </xf>
    <xf numFmtId="0" fontId="1" fillId="0" borderId="0" xfId="0" applyFont="1"/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/>
    </xf>
    <xf numFmtId="165" fontId="3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2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2" fillId="4" borderId="1" xfId="0" applyNumberFormat="1" applyFont="1" applyFill="1" applyBorder="1" applyAlignment="1">
      <alignment horizontal="center" wrapText="1"/>
    </xf>
    <xf numFmtId="3" fontId="3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2" fillId="4" borderId="0" xfId="0" applyFont="1" applyFill="1" applyBorder="1" applyAlignment="1">
      <alignment horizontal="left" wrapText="1"/>
    </xf>
    <xf numFmtId="0" fontId="2" fillId="4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vertical="center" wrapText="1"/>
    </xf>
    <xf numFmtId="4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3" fillId="4" borderId="2" xfId="0" applyFont="1" applyFill="1" applyBorder="1" applyAlignment="1">
      <alignment horizontal="center"/>
    </xf>
    <xf numFmtId="0" fontId="2" fillId="5" borderId="0" xfId="1" applyFont="1" applyFill="1" applyBorder="1" applyAlignment="1">
      <alignment horizontal="left" wrapText="1"/>
    </xf>
    <xf numFmtId="0" fontId="3" fillId="4" borderId="0" xfId="0" applyFont="1" applyFill="1" applyAlignment="1"/>
    <xf numFmtId="0" fontId="3" fillId="4" borderId="0" xfId="0" applyFont="1" applyFill="1" applyBorder="1" applyAlignment="1"/>
    <xf numFmtId="0" fontId="2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3FF23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:N60"/>
    </sheetView>
  </sheetViews>
  <sheetFormatPr defaultRowHeight="12.75" x14ac:dyDescent="0.2"/>
  <cols>
    <col min="3" max="3" width="23" customWidth="1"/>
    <col min="4" max="4" width="15.140625" customWidth="1"/>
    <col min="6" max="6" width="12.140625" customWidth="1"/>
    <col min="7" max="7" width="17" customWidth="1"/>
    <col min="8" max="8" width="11.7109375" customWidth="1"/>
    <col min="12" max="12" width="10.7109375" customWidth="1"/>
  </cols>
  <sheetData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J1419"/>
  <sheetViews>
    <sheetView tabSelected="1" topLeftCell="A718" zoomScale="98" zoomScaleNormal="98" workbookViewId="0">
      <selection activeCell="C11" sqref="C11"/>
    </sheetView>
  </sheetViews>
  <sheetFormatPr defaultRowHeight="12.75" x14ac:dyDescent="0.2"/>
  <cols>
    <col min="1" max="1" width="4.42578125" style="60" customWidth="1"/>
    <col min="2" max="2" width="37.140625" style="47" customWidth="1"/>
    <col min="3" max="3" width="13" style="47" customWidth="1"/>
    <col min="4" max="4" width="4.42578125" style="48" customWidth="1"/>
    <col min="5" max="5" width="28.5703125" style="47" customWidth="1"/>
    <col min="6" max="6" width="10.5703125" style="49" customWidth="1"/>
    <col min="7" max="7" width="9.85546875" style="49" customWidth="1"/>
    <col min="8" max="8" width="10" style="49" customWidth="1"/>
    <col min="9" max="9" width="23.140625" style="49" customWidth="1"/>
    <col min="10" max="10" width="14.140625" style="51" customWidth="1"/>
    <col min="11" max="11" width="14.85546875" style="49" customWidth="1"/>
    <col min="12" max="12" width="10.7109375" style="4" customWidth="1"/>
    <col min="13" max="13" width="10" style="4" bestFit="1" customWidth="1"/>
    <col min="14" max="24" width="9.140625" style="4"/>
  </cols>
  <sheetData>
    <row r="1" spans="1:26" ht="21" x14ac:dyDescent="0.2">
      <c r="A1" s="45"/>
      <c r="B1" s="46"/>
      <c r="I1" s="31" t="s">
        <v>29</v>
      </c>
      <c r="J1" s="50" t="s">
        <v>906</v>
      </c>
      <c r="L1" s="6"/>
      <c r="M1" s="6"/>
      <c r="N1" s="6"/>
      <c r="O1" s="6"/>
      <c r="P1" s="6"/>
      <c r="Q1" s="6"/>
      <c r="R1" s="6"/>
      <c r="S1" s="6"/>
      <c r="T1" s="6"/>
      <c r="U1"/>
      <c r="V1"/>
      <c r="W1"/>
      <c r="X1"/>
    </row>
    <row r="2" spans="1:26" x14ac:dyDescent="0.2">
      <c r="A2" s="45"/>
      <c r="B2" s="46"/>
      <c r="L2" s="6"/>
      <c r="M2" s="6"/>
      <c r="N2" s="6"/>
      <c r="O2" s="6"/>
      <c r="P2" s="6"/>
      <c r="Q2" s="6"/>
      <c r="R2" s="6"/>
      <c r="S2" s="6"/>
      <c r="T2" s="6"/>
      <c r="U2"/>
      <c r="V2"/>
      <c r="W2"/>
      <c r="X2"/>
    </row>
    <row r="3" spans="1:26" ht="12.75" customHeight="1" x14ac:dyDescent="0.2">
      <c r="A3" s="45"/>
      <c r="B3" s="46"/>
      <c r="L3" s="6"/>
      <c r="M3" s="6"/>
      <c r="N3" s="6"/>
      <c r="O3" s="6"/>
      <c r="P3" s="6"/>
      <c r="Q3" s="6"/>
      <c r="R3" s="6"/>
      <c r="S3" s="6"/>
      <c r="T3" s="6"/>
      <c r="U3"/>
      <c r="V3"/>
      <c r="W3"/>
      <c r="X3"/>
    </row>
    <row r="4" spans="1:26" s="3" customFormat="1" ht="12" customHeight="1" x14ac:dyDescent="0.2">
      <c r="A4" s="61" t="s">
        <v>46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"/>
      <c r="M4" s="6"/>
      <c r="N4" s="6"/>
      <c r="O4" s="6"/>
      <c r="P4" s="6"/>
      <c r="Q4" s="6"/>
      <c r="R4" s="6"/>
      <c r="S4" s="6"/>
      <c r="T4" s="6"/>
      <c r="U4"/>
      <c r="V4"/>
      <c r="W4"/>
      <c r="X4"/>
      <c r="Y4"/>
      <c r="Z4"/>
    </row>
    <row r="5" spans="1:26" s="3" customFormat="1" ht="12.75" customHeight="1" x14ac:dyDescent="0.2">
      <c r="A5" s="61" t="s">
        <v>931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"/>
      <c r="M5" s="6"/>
      <c r="N5" s="6"/>
      <c r="O5" s="6"/>
      <c r="P5" s="6"/>
      <c r="Q5" s="6"/>
      <c r="R5" s="6"/>
      <c r="S5" s="6"/>
      <c r="T5" s="6"/>
      <c r="U5"/>
      <c r="V5"/>
      <c r="W5"/>
      <c r="X5"/>
      <c r="Y5"/>
      <c r="Z5"/>
    </row>
    <row r="6" spans="1:26" s="11" customFormat="1" ht="31.5" x14ac:dyDescent="0.2">
      <c r="A6" s="29" t="s">
        <v>30</v>
      </c>
      <c r="B6" s="29" t="s">
        <v>32</v>
      </c>
      <c r="C6" s="29" t="s">
        <v>33</v>
      </c>
      <c r="D6" s="29" t="s">
        <v>34</v>
      </c>
      <c r="E6" s="29" t="s">
        <v>35</v>
      </c>
      <c r="F6" s="28" t="s">
        <v>31</v>
      </c>
      <c r="G6" s="28" t="s">
        <v>47</v>
      </c>
      <c r="H6" s="28" t="s">
        <v>36</v>
      </c>
      <c r="I6" s="28" t="s">
        <v>37</v>
      </c>
      <c r="J6" s="29" t="s">
        <v>38</v>
      </c>
      <c r="K6" s="28" t="s">
        <v>39</v>
      </c>
      <c r="L6" s="10"/>
      <c r="M6" s="10"/>
      <c r="N6" s="10"/>
      <c r="O6" s="10"/>
      <c r="P6" s="10"/>
      <c r="Q6" s="10"/>
      <c r="R6" s="10"/>
      <c r="S6" s="10"/>
      <c r="T6" s="10"/>
    </row>
    <row r="7" spans="1:26" x14ac:dyDescent="0.2">
      <c r="A7" s="64">
        <v>1</v>
      </c>
      <c r="B7" s="28">
        <v>2</v>
      </c>
      <c r="C7" s="28">
        <v>3</v>
      </c>
      <c r="D7" s="27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9">
        <v>10</v>
      </c>
      <c r="K7" s="28">
        <v>11</v>
      </c>
      <c r="L7" s="6"/>
      <c r="M7" s="6"/>
      <c r="N7" s="6"/>
      <c r="O7" s="6"/>
      <c r="P7" s="6"/>
      <c r="Q7" s="6"/>
      <c r="R7" s="6"/>
      <c r="S7" s="6"/>
      <c r="T7" s="6"/>
      <c r="U7"/>
      <c r="V7"/>
      <c r="W7"/>
      <c r="X7"/>
    </row>
    <row r="8" spans="1:26" ht="21.75" x14ac:dyDescent="0.2">
      <c r="A8" s="65"/>
      <c r="B8" s="34" t="s">
        <v>54</v>
      </c>
      <c r="C8" s="26" t="s">
        <v>908</v>
      </c>
      <c r="D8" s="13"/>
      <c r="E8" s="40" t="s">
        <v>907</v>
      </c>
      <c r="F8" s="40" t="s">
        <v>902</v>
      </c>
      <c r="G8" s="41" t="s">
        <v>903</v>
      </c>
      <c r="H8" s="40" t="s">
        <v>904</v>
      </c>
      <c r="I8" s="40" t="s">
        <v>905</v>
      </c>
      <c r="J8" s="9"/>
      <c r="K8" s="9"/>
      <c r="L8" s="6"/>
      <c r="M8" s="6"/>
      <c r="N8" s="6"/>
      <c r="O8" s="6"/>
      <c r="P8" s="6"/>
      <c r="Q8" s="6"/>
      <c r="R8" s="6"/>
      <c r="S8" s="6"/>
      <c r="T8" s="6"/>
      <c r="U8"/>
      <c r="V8"/>
      <c r="W8"/>
      <c r="X8"/>
    </row>
    <row r="9" spans="1:26" ht="56.25" x14ac:dyDescent="0.2">
      <c r="A9" s="18">
        <v>1</v>
      </c>
      <c r="B9" s="8" t="s">
        <v>917</v>
      </c>
      <c r="C9" s="8" t="s">
        <v>915</v>
      </c>
      <c r="D9" s="5">
        <v>149</v>
      </c>
      <c r="E9" s="8" t="s">
        <v>917</v>
      </c>
      <c r="F9" s="18" t="s">
        <v>916</v>
      </c>
      <c r="G9" s="39">
        <v>10000</v>
      </c>
      <c r="H9" s="23">
        <v>500</v>
      </c>
      <c r="I9" s="5">
        <f t="shared" ref="I9" si="0">H9*G9</f>
        <v>5000000</v>
      </c>
      <c r="J9" s="13" t="s">
        <v>43</v>
      </c>
      <c r="K9" s="5" t="s">
        <v>41</v>
      </c>
      <c r="L9" s="6"/>
      <c r="M9" s="6"/>
      <c r="N9" s="6"/>
      <c r="O9" s="6"/>
      <c r="P9" s="6"/>
      <c r="Q9" s="6"/>
      <c r="R9" s="6"/>
      <c r="S9" s="6"/>
      <c r="T9" s="6"/>
      <c r="U9"/>
      <c r="V9"/>
      <c r="W9"/>
      <c r="X9"/>
    </row>
    <row r="10" spans="1:26" ht="33.75" x14ac:dyDescent="0.2">
      <c r="A10" s="18"/>
      <c r="B10" s="7" t="s">
        <v>191</v>
      </c>
      <c r="C10" s="5" t="s">
        <v>909</v>
      </c>
      <c r="D10" s="13">
        <v>142</v>
      </c>
      <c r="E10" s="7" t="s">
        <v>191</v>
      </c>
      <c r="F10" s="18" t="s">
        <v>677</v>
      </c>
      <c r="G10" s="18">
        <v>2000</v>
      </c>
      <c r="H10" s="24">
        <f>640/1.12</f>
        <v>571.42857142857133</v>
      </c>
      <c r="I10" s="23">
        <f>G10*H10</f>
        <v>1142857.1428571427</v>
      </c>
      <c r="J10" s="18" t="s">
        <v>43</v>
      </c>
      <c r="K10" s="18" t="s">
        <v>41</v>
      </c>
      <c r="L10" s="6"/>
      <c r="M10" s="6"/>
      <c r="N10" s="6"/>
      <c r="O10" s="6"/>
      <c r="P10" s="6"/>
      <c r="Q10" s="6"/>
      <c r="R10" s="6"/>
      <c r="S10" s="6"/>
      <c r="T10" s="6"/>
      <c r="U10"/>
      <c r="V10"/>
      <c r="W10"/>
      <c r="X10"/>
    </row>
    <row r="11" spans="1:26" ht="33.75" x14ac:dyDescent="0.2">
      <c r="A11" s="18">
        <v>2</v>
      </c>
      <c r="B11" s="7" t="s">
        <v>192</v>
      </c>
      <c r="C11" s="5" t="s">
        <v>909</v>
      </c>
      <c r="D11" s="13">
        <v>142</v>
      </c>
      <c r="E11" s="19" t="s">
        <v>192</v>
      </c>
      <c r="F11" s="18" t="s">
        <v>49</v>
      </c>
      <c r="G11" s="42">
        <v>5000</v>
      </c>
      <c r="H11" s="24">
        <f>35/1.12</f>
        <v>31.249999999999996</v>
      </c>
      <c r="I11" s="23">
        <f>G11*H11</f>
        <v>156249.99999999997</v>
      </c>
      <c r="J11" s="18" t="s">
        <v>43</v>
      </c>
      <c r="K11" s="18" t="s">
        <v>41</v>
      </c>
      <c r="L11" s="6"/>
      <c r="M11" s="6"/>
      <c r="N11" s="6"/>
      <c r="O11" s="6"/>
      <c r="P11" s="6"/>
      <c r="Q11" s="6"/>
      <c r="R11" s="6"/>
      <c r="S11" s="6"/>
      <c r="T11" s="6"/>
      <c r="U11"/>
      <c r="V11"/>
      <c r="W11"/>
      <c r="X11"/>
    </row>
    <row r="12" spans="1:26" ht="33.75" x14ac:dyDescent="0.2">
      <c r="A12" s="18">
        <v>3</v>
      </c>
      <c r="B12" s="7" t="s">
        <v>193</v>
      </c>
      <c r="C12" s="5" t="s">
        <v>909</v>
      </c>
      <c r="D12" s="13">
        <v>142</v>
      </c>
      <c r="E12" s="19" t="s">
        <v>193</v>
      </c>
      <c r="F12" s="18" t="s">
        <v>49</v>
      </c>
      <c r="G12" s="42">
        <v>5000</v>
      </c>
      <c r="H12" s="24">
        <f>70/1.12</f>
        <v>62.499999999999993</v>
      </c>
      <c r="I12" s="23">
        <f>G12*H12</f>
        <v>312499.99999999994</v>
      </c>
      <c r="J12" s="18" t="s">
        <v>43</v>
      </c>
      <c r="K12" s="18" t="s">
        <v>41</v>
      </c>
      <c r="L12" s="6"/>
      <c r="M12" s="6"/>
      <c r="N12" s="6"/>
      <c r="O12" s="6"/>
      <c r="P12" s="6"/>
      <c r="Q12" s="6"/>
      <c r="R12" s="6"/>
      <c r="S12" s="6"/>
      <c r="T12" s="6"/>
      <c r="U12"/>
      <c r="V12"/>
      <c r="W12"/>
      <c r="X12"/>
    </row>
    <row r="13" spans="1:26" ht="33.75" x14ac:dyDescent="0.2">
      <c r="A13" s="18">
        <v>4</v>
      </c>
      <c r="B13" s="7" t="s">
        <v>194</v>
      </c>
      <c r="C13" s="5" t="s">
        <v>909</v>
      </c>
      <c r="D13" s="13">
        <v>142</v>
      </c>
      <c r="E13" s="19" t="s">
        <v>194</v>
      </c>
      <c r="F13" s="18" t="s">
        <v>677</v>
      </c>
      <c r="G13" s="42">
        <v>20000</v>
      </c>
      <c r="H13" s="24">
        <f>13/1.12</f>
        <v>11.607142857142856</v>
      </c>
      <c r="I13" s="23">
        <f t="shared" ref="I13:I78" si="1">G13*H13</f>
        <v>232142.85714285713</v>
      </c>
      <c r="J13" s="18" t="s">
        <v>43</v>
      </c>
      <c r="K13" s="18" t="s">
        <v>41</v>
      </c>
      <c r="L13" s="6"/>
      <c r="M13" s="6"/>
      <c r="N13" s="6"/>
      <c r="O13" s="6"/>
      <c r="P13" s="6"/>
      <c r="Q13" s="6"/>
      <c r="R13" s="6"/>
      <c r="S13" s="6"/>
      <c r="T13" s="6"/>
      <c r="U13"/>
      <c r="V13"/>
      <c r="W13"/>
      <c r="X13"/>
    </row>
    <row r="14" spans="1:26" ht="33.75" x14ac:dyDescent="0.2">
      <c r="A14" s="18">
        <v>5</v>
      </c>
      <c r="B14" s="7" t="s">
        <v>195</v>
      </c>
      <c r="C14" s="5" t="s">
        <v>909</v>
      </c>
      <c r="D14" s="13">
        <v>142</v>
      </c>
      <c r="E14" s="19" t="s">
        <v>195</v>
      </c>
      <c r="F14" s="18" t="s">
        <v>677</v>
      </c>
      <c r="G14" s="42">
        <v>10000</v>
      </c>
      <c r="H14" s="24">
        <f>75/1.12</f>
        <v>66.964285714285708</v>
      </c>
      <c r="I14" s="23">
        <f t="shared" si="1"/>
        <v>669642.85714285704</v>
      </c>
      <c r="J14" s="18" t="s">
        <v>43</v>
      </c>
      <c r="K14" s="18" t="s">
        <v>41</v>
      </c>
      <c r="L14" s="6"/>
      <c r="M14" s="6"/>
      <c r="N14" s="6"/>
      <c r="O14" s="6"/>
      <c r="P14" s="6"/>
      <c r="Q14" s="6"/>
      <c r="R14" s="6"/>
      <c r="S14" s="6"/>
      <c r="T14" s="6"/>
      <c r="U14"/>
      <c r="V14"/>
      <c r="W14"/>
      <c r="X14"/>
    </row>
    <row r="15" spans="1:26" ht="33.75" x14ac:dyDescent="0.2">
      <c r="A15" s="18">
        <v>6</v>
      </c>
      <c r="B15" s="7" t="s">
        <v>196</v>
      </c>
      <c r="C15" s="5" t="s">
        <v>909</v>
      </c>
      <c r="D15" s="13">
        <v>142</v>
      </c>
      <c r="E15" s="19" t="s">
        <v>196</v>
      </c>
      <c r="F15" s="18" t="s">
        <v>677</v>
      </c>
      <c r="G15" s="42">
        <v>11000</v>
      </c>
      <c r="H15" s="24">
        <f>280/1.12</f>
        <v>249.99999999999997</v>
      </c>
      <c r="I15" s="23">
        <f t="shared" si="1"/>
        <v>2749999.9999999995</v>
      </c>
      <c r="J15" s="18" t="s">
        <v>43</v>
      </c>
      <c r="K15" s="18" t="s">
        <v>41</v>
      </c>
      <c r="L15" s="6"/>
      <c r="M15" s="6"/>
      <c r="N15" s="6"/>
      <c r="O15" s="6"/>
      <c r="P15" s="6"/>
      <c r="Q15" s="6"/>
      <c r="R15" s="6"/>
      <c r="S15" s="6"/>
      <c r="T15" s="6"/>
      <c r="U15"/>
      <c r="V15"/>
      <c r="W15"/>
      <c r="X15"/>
    </row>
    <row r="16" spans="1:26" ht="33.75" x14ac:dyDescent="0.2">
      <c r="A16" s="18">
        <v>7</v>
      </c>
      <c r="B16" s="7" t="s">
        <v>191</v>
      </c>
      <c r="C16" s="5" t="s">
        <v>909</v>
      </c>
      <c r="D16" s="13">
        <v>142</v>
      </c>
      <c r="E16" s="7" t="s">
        <v>191</v>
      </c>
      <c r="F16" s="18" t="s">
        <v>677</v>
      </c>
      <c r="G16" s="42">
        <v>2000</v>
      </c>
      <c r="H16" s="24">
        <f>640/1.12</f>
        <v>571.42857142857133</v>
      </c>
      <c r="I16" s="23">
        <f t="shared" si="1"/>
        <v>1142857.1428571427</v>
      </c>
      <c r="J16" s="18" t="s">
        <v>43</v>
      </c>
      <c r="K16" s="18" t="s">
        <v>41</v>
      </c>
      <c r="L16" s="6"/>
      <c r="M16" s="6"/>
      <c r="N16" s="6"/>
      <c r="O16" s="6"/>
      <c r="P16" s="6"/>
      <c r="Q16" s="6"/>
      <c r="R16" s="6"/>
      <c r="S16" s="6"/>
      <c r="T16" s="6"/>
      <c r="U16"/>
      <c r="V16"/>
      <c r="W16"/>
      <c r="X16"/>
    </row>
    <row r="17" spans="1:24" ht="33.75" x14ac:dyDescent="0.2">
      <c r="A17" s="18">
        <v>8</v>
      </c>
      <c r="B17" s="7" t="s">
        <v>197</v>
      </c>
      <c r="C17" s="5" t="s">
        <v>909</v>
      </c>
      <c r="D17" s="13">
        <v>142</v>
      </c>
      <c r="E17" s="7" t="s">
        <v>197</v>
      </c>
      <c r="F17" s="18" t="s">
        <v>677</v>
      </c>
      <c r="G17" s="42">
        <v>15000</v>
      </c>
      <c r="H17" s="24">
        <v>2085</v>
      </c>
      <c r="I17" s="23">
        <f t="shared" si="1"/>
        <v>31275000</v>
      </c>
      <c r="J17" s="18" t="s">
        <v>43</v>
      </c>
      <c r="K17" s="18" t="s">
        <v>41</v>
      </c>
      <c r="L17" s="6"/>
      <c r="M17" s="6"/>
      <c r="N17" s="6"/>
      <c r="O17" s="6"/>
      <c r="P17" s="6"/>
      <c r="Q17" s="6"/>
      <c r="R17" s="6"/>
      <c r="S17" s="6"/>
      <c r="T17" s="6"/>
      <c r="U17"/>
      <c r="V17"/>
      <c r="W17"/>
      <c r="X17"/>
    </row>
    <row r="18" spans="1:24" ht="33.75" x14ac:dyDescent="0.2">
      <c r="A18" s="18">
        <v>9</v>
      </c>
      <c r="B18" s="7" t="s">
        <v>198</v>
      </c>
      <c r="C18" s="5" t="s">
        <v>909</v>
      </c>
      <c r="D18" s="13">
        <v>142</v>
      </c>
      <c r="E18" s="7" t="s">
        <v>198</v>
      </c>
      <c r="F18" s="18" t="s">
        <v>677</v>
      </c>
      <c r="G18" s="42">
        <v>5000</v>
      </c>
      <c r="H18" s="24">
        <v>1985</v>
      </c>
      <c r="I18" s="23">
        <f t="shared" si="1"/>
        <v>9925000</v>
      </c>
      <c r="J18" s="18" t="s">
        <v>43</v>
      </c>
      <c r="K18" s="18" t="s">
        <v>41</v>
      </c>
      <c r="L18" s="6"/>
      <c r="M18" s="6"/>
      <c r="N18" s="6"/>
      <c r="O18" s="6"/>
      <c r="P18" s="6"/>
      <c r="Q18" s="6"/>
      <c r="R18" s="6"/>
      <c r="S18" s="6"/>
      <c r="T18" s="6"/>
      <c r="U18"/>
      <c r="V18"/>
      <c r="W18"/>
      <c r="X18"/>
    </row>
    <row r="19" spans="1:24" ht="33.75" x14ac:dyDescent="0.2">
      <c r="A19" s="18">
        <v>10</v>
      </c>
      <c r="B19" s="7" t="s">
        <v>199</v>
      </c>
      <c r="C19" s="5" t="s">
        <v>909</v>
      </c>
      <c r="D19" s="13">
        <v>142</v>
      </c>
      <c r="E19" s="7" t="s">
        <v>199</v>
      </c>
      <c r="F19" s="18" t="s">
        <v>677</v>
      </c>
      <c r="G19" s="42">
        <v>340000</v>
      </c>
      <c r="H19" s="24">
        <f>12/1.12</f>
        <v>10.714285714285714</v>
      </c>
      <c r="I19" s="23">
        <f t="shared" si="1"/>
        <v>3642857.1428571427</v>
      </c>
      <c r="J19" s="18" t="s">
        <v>43</v>
      </c>
      <c r="K19" s="18" t="s">
        <v>41</v>
      </c>
      <c r="L19" s="6"/>
      <c r="M19" s="6"/>
      <c r="N19" s="6"/>
      <c r="O19" s="6"/>
      <c r="P19" s="6"/>
      <c r="Q19" s="6"/>
      <c r="R19" s="6"/>
      <c r="S19" s="6"/>
      <c r="T19" s="6"/>
      <c r="U19"/>
      <c r="V19"/>
      <c r="W19"/>
      <c r="X19"/>
    </row>
    <row r="20" spans="1:24" ht="33.75" x14ac:dyDescent="0.2">
      <c r="A20" s="18">
        <v>11</v>
      </c>
      <c r="B20" s="7" t="s">
        <v>200</v>
      </c>
      <c r="C20" s="5" t="s">
        <v>909</v>
      </c>
      <c r="D20" s="13">
        <v>142</v>
      </c>
      <c r="E20" s="7" t="s">
        <v>200</v>
      </c>
      <c r="F20" s="18" t="s">
        <v>677</v>
      </c>
      <c r="G20" s="42">
        <v>400</v>
      </c>
      <c r="H20" s="24">
        <f>180/1.12</f>
        <v>160.71428571428569</v>
      </c>
      <c r="I20" s="23">
        <f t="shared" si="1"/>
        <v>64285.714285714275</v>
      </c>
      <c r="J20" s="18" t="s">
        <v>43</v>
      </c>
      <c r="K20" s="18" t="s">
        <v>41</v>
      </c>
      <c r="L20" s="6"/>
      <c r="M20" s="6"/>
      <c r="N20" s="6"/>
      <c r="O20" s="6"/>
      <c r="P20" s="6"/>
      <c r="Q20" s="6"/>
      <c r="R20" s="6"/>
      <c r="S20" s="6"/>
      <c r="T20" s="6"/>
      <c r="U20"/>
      <c r="V20"/>
      <c r="W20"/>
      <c r="X20"/>
    </row>
    <row r="21" spans="1:24" ht="33.75" x14ac:dyDescent="0.2">
      <c r="A21" s="18">
        <v>12</v>
      </c>
      <c r="B21" s="7" t="s">
        <v>201</v>
      </c>
      <c r="C21" s="5" t="s">
        <v>909</v>
      </c>
      <c r="D21" s="13">
        <v>142</v>
      </c>
      <c r="E21" s="7" t="s">
        <v>201</v>
      </c>
      <c r="F21" s="18" t="s">
        <v>677</v>
      </c>
      <c r="G21" s="42">
        <v>2000</v>
      </c>
      <c r="H21" s="24">
        <f>105/1.12</f>
        <v>93.749999999999986</v>
      </c>
      <c r="I21" s="23">
        <f t="shared" si="1"/>
        <v>187499.99999999997</v>
      </c>
      <c r="J21" s="18" t="s">
        <v>43</v>
      </c>
      <c r="K21" s="18" t="s">
        <v>41</v>
      </c>
      <c r="L21" s="6"/>
      <c r="M21" s="6"/>
      <c r="N21" s="6"/>
      <c r="O21" s="6"/>
      <c r="P21" s="6"/>
      <c r="Q21" s="6"/>
      <c r="R21" s="6"/>
      <c r="S21" s="6"/>
      <c r="T21" s="6"/>
      <c r="U21"/>
      <c r="V21"/>
      <c r="W21"/>
      <c r="X21"/>
    </row>
    <row r="22" spans="1:24" ht="33.75" x14ac:dyDescent="0.2">
      <c r="A22" s="18">
        <v>13</v>
      </c>
      <c r="B22" s="7" t="s">
        <v>202</v>
      </c>
      <c r="C22" s="5" t="s">
        <v>909</v>
      </c>
      <c r="D22" s="13">
        <v>142</v>
      </c>
      <c r="E22" s="7" t="s">
        <v>202</v>
      </c>
      <c r="F22" s="18" t="s">
        <v>677</v>
      </c>
      <c r="G22" s="42">
        <v>2000</v>
      </c>
      <c r="H22" s="24">
        <f>40/1.12</f>
        <v>35.714285714285708</v>
      </c>
      <c r="I22" s="23">
        <f t="shared" si="1"/>
        <v>71428.57142857142</v>
      </c>
      <c r="J22" s="18" t="s">
        <v>43</v>
      </c>
      <c r="K22" s="18" t="s">
        <v>41</v>
      </c>
      <c r="L22" s="6"/>
      <c r="M22" s="6"/>
      <c r="N22" s="6"/>
      <c r="O22" s="6"/>
      <c r="P22" s="6"/>
      <c r="Q22" s="6"/>
      <c r="R22" s="6"/>
      <c r="S22" s="6"/>
      <c r="T22" s="6"/>
      <c r="U22"/>
      <c r="V22"/>
      <c r="W22"/>
      <c r="X22"/>
    </row>
    <row r="23" spans="1:24" ht="33.75" x14ac:dyDescent="0.2">
      <c r="A23" s="18">
        <v>14</v>
      </c>
      <c r="B23" s="7" t="s">
        <v>203</v>
      </c>
      <c r="C23" s="5" t="s">
        <v>909</v>
      </c>
      <c r="D23" s="13">
        <v>142</v>
      </c>
      <c r="E23" s="7" t="s">
        <v>203</v>
      </c>
      <c r="F23" s="18" t="s">
        <v>677</v>
      </c>
      <c r="G23" s="42">
        <v>20</v>
      </c>
      <c r="H23" s="24">
        <f>750/1.12</f>
        <v>669.64285714285711</v>
      </c>
      <c r="I23" s="23">
        <f t="shared" si="1"/>
        <v>13392.857142857141</v>
      </c>
      <c r="J23" s="18" t="s">
        <v>43</v>
      </c>
      <c r="K23" s="18" t="s">
        <v>41</v>
      </c>
      <c r="L23" s="6"/>
      <c r="M23" s="6"/>
      <c r="N23" s="6"/>
      <c r="O23" s="6"/>
      <c r="P23" s="6"/>
      <c r="Q23" s="6"/>
      <c r="R23" s="6"/>
      <c r="S23" s="6"/>
      <c r="T23" s="6"/>
      <c r="U23"/>
      <c r="V23"/>
      <c r="W23"/>
      <c r="X23"/>
    </row>
    <row r="24" spans="1:24" ht="33.75" x14ac:dyDescent="0.2">
      <c r="A24" s="18">
        <v>15</v>
      </c>
      <c r="B24" s="7" t="s">
        <v>204</v>
      </c>
      <c r="C24" s="5" t="s">
        <v>909</v>
      </c>
      <c r="D24" s="13">
        <v>142</v>
      </c>
      <c r="E24" s="7" t="s">
        <v>204</v>
      </c>
      <c r="F24" s="18" t="s">
        <v>677</v>
      </c>
      <c r="G24" s="42">
        <v>1000</v>
      </c>
      <c r="H24" s="24">
        <f>150/1.12</f>
        <v>133.92857142857142</v>
      </c>
      <c r="I24" s="23">
        <f t="shared" si="1"/>
        <v>133928.57142857142</v>
      </c>
      <c r="J24" s="18" t="s">
        <v>43</v>
      </c>
      <c r="K24" s="18" t="s">
        <v>41</v>
      </c>
      <c r="L24" s="6"/>
      <c r="M24" s="6"/>
      <c r="N24" s="6"/>
      <c r="O24" s="6"/>
      <c r="P24" s="6"/>
      <c r="Q24" s="6"/>
      <c r="R24" s="6"/>
      <c r="S24" s="6"/>
      <c r="T24" s="6"/>
      <c r="U24"/>
      <c r="V24"/>
      <c r="W24"/>
      <c r="X24"/>
    </row>
    <row r="25" spans="1:24" ht="33.75" x14ac:dyDescent="0.2">
      <c r="A25" s="18">
        <v>16</v>
      </c>
      <c r="B25" s="7" t="s">
        <v>205</v>
      </c>
      <c r="C25" s="5" t="s">
        <v>909</v>
      </c>
      <c r="D25" s="13">
        <v>142</v>
      </c>
      <c r="E25" s="7" t="s">
        <v>205</v>
      </c>
      <c r="F25" s="18" t="s">
        <v>44</v>
      </c>
      <c r="G25" s="42">
        <v>800</v>
      </c>
      <c r="H25" s="24">
        <v>190</v>
      </c>
      <c r="I25" s="23">
        <f t="shared" si="1"/>
        <v>152000</v>
      </c>
      <c r="J25" s="18" t="s">
        <v>43</v>
      </c>
      <c r="K25" s="18" t="s">
        <v>41</v>
      </c>
      <c r="L25" s="6"/>
      <c r="M25" s="6"/>
      <c r="N25" s="6"/>
      <c r="O25" s="6"/>
      <c r="P25" s="6"/>
      <c r="Q25" s="6"/>
      <c r="R25" s="6"/>
      <c r="S25" s="6"/>
      <c r="T25" s="6"/>
      <c r="U25"/>
      <c r="V25"/>
      <c r="W25"/>
      <c r="X25"/>
    </row>
    <row r="26" spans="1:24" ht="33.75" x14ac:dyDescent="0.2">
      <c r="A26" s="18">
        <v>17</v>
      </c>
      <c r="B26" s="7" t="s">
        <v>206</v>
      </c>
      <c r="C26" s="5" t="s">
        <v>909</v>
      </c>
      <c r="D26" s="13">
        <v>142</v>
      </c>
      <c r="E26" s="7" t="s">
        <v>206</v>
      </c>
      <c r="F26" s="18" t="s">
        <v>677</v>
      </c>
      <c r="G26" s="42">
        <v>5</v>
      </c>
      <c r="H26" s="24">
        <f>2150/1.12</f>
        <v>1919.6428571428569</v>
      </c>
      <c r="I26" s="23">
        <f t="shared" si="1"/>
        <v>9598.2142857142844</v>
      </c>
      <c r="J26" s="18" t="s">
        <v>43</v>
      </c>
      <c r="K26" s="18" t="s">
        <v>41</v>
      </c>
      <c r="L26" s="6"/>
      <c r="M26" s="6"/>
      <c r="N26" s="6"/>
      <c r="O26" s="6"/>
      <c r="P26" s="6"/>
      <c r="Q26" s="6"/>
      <c r="R26" s="6"/>
      <c r="S26" s="6"/>
      <c r="T26" s="6"/>
      <c r="U26"/>
      <c r="V26"/>
      <c r="W26"/>
      <c r="X26"/>
    </row>
    <row r="27" spans="1:24" ht="33.75" x14ac:dyDescent="0.2">
      <c r="A27" s="18">
        <v>18</v>
      </c>
      <c r="B27" s="7" t="s">
        <v>704</v>
      </c>
      <c r="C27" s="5" t="s">
        <v>909</v>
      </c>
      <c r="D27" s="13">
        <v>142</v>
      </c>
      <c r="E27" s="7" t="s">
        <v>207</v>
      </c>
      <c r="F27" s="18" t="s">
        <v>50</v>
      </c>
      <c r="G27" s="42">
        <v>10000</v>
      </c>
      <c r="H27" s="24">
        <f>5/1.12</f>
        <v>4.4642857142857135</v>
      </c>
      <c r="I27" s="23">
        <f t="shared" si="1"/>
        <v>44642.857142857138</v>
      </c>
      <c r="J27" s="18" t="s">
        <v>43</v>
      </c>
      <c r="K27" s="18" t="s">
        <v>41</v>
      </c>
      <c r="L27" s="6"/>
      <c r="M27" s="6"/>
      <c r="N27" s="6"/>
      <c r="O27" s="6"/>
      <c r="P27" s="6"/>
      <c r="Q27" s="6"/>
      <c r="R27" s="6"/>
      <c r="S27" s="6"/>
      <c r="T27" s="6"/>
      <c r="U27"/>
      <c r="V27"/>
      <c r="W27"/>
      <c r="X27"/>
    </row>
    <row r="28" spans="1:24" ht="33.75" x14ac:dyDescent="0.2">
      <c r="A28" s="18">
        <v>19</v>
      </c>
      <c r="B28" s="7" t="s">
        <v>705</v>
      </c>
      <c r="C28" s="5" t="s">
        <v>909</v>
      </c>
      <c r="D28" s="13">
        <v>142</v>
      </c>
      <c r="E28" s="7" t="s">
        <v>705</v>
      </c>
      <c r="F28" s="18" t="s">
        <v>677</v>
      </c>
      <c r="G28" s="42">
        <v>504</v>
      </c>
      <c r="H28" s="24">
        <v>140</v>
      </c>
      <c r="I28" s="23">
        <f t="shared" si="1"/>
        <v>70560</v>
      </c>
      <c r="J28" s="18" t="s">
        <v>43</v>
      </c>
      <c r="K28" s="18" t="s">
        <v>41</v>
      </c>
      <c r="L28" s="6"/>
      <c r="M28" s="6"/>
      <c r="N28" s="6"/>
      <c r="O28" s="6"/>
      <c r="P28" s="6"/>
      <c r="Q28" s="6"/>
      <c r="R28" s="6"/>
      <c r="S28" s="6"/>
      <c r="T28" s="6"/>
      <c r="U28"/>
      <c r="V28"/>
      <c r="W28"/>
      <c r="X28"/>
    </row>
    <row r="29" spans="1:24" ht="33.75" x14ac:dyDescent="0.2">
      <c r="A29" s="18">
        <v>20</v>
      </c>
      <c r="B29" s="7" t="s">
        <v>918</v>
      </c>
      <c r="C29" s="5" t="s">
        <v>909</v>
      </c>
      <c r="D29" s="13">
        <v>142</v>
      </c>
      <c r="E29" s="7" t="s">
        <v>919</v>
      </c>
      <c r="F29" s="18" t="s">
        <v>677</v>
      </c>
      <c r="G29" s="42">
        <v>1200</v>
      </c>
      <c r="H29" s="24">
        <v>70</v>
      </c>
      <c r="I29" s="23">
        <f t="shared" si="1"/>
        <v>84000</v>
      </c>
      <c r="J29" s="18" t="s">
        <v>43</v>
      </c>
      <c r="K29" s="18" t="s">
        <v>41</v>
      </c>
      <c r="L29" s="6"/>
      <c r="M29" s="6"/>
      <c r="N29" s="6"/>
      <c r="O29" s="6"/>
      <c r="P29" s="6"/>
      <c r="Q29" s="6"/>
      <c r="R29" s="6"/>
      <c r="S29" s="6"/>
      <c r="T29" s="6"/>
      <c r="U29"/>
      <c r="V29"/>
      <c r="W29"/>
      <c r="X29"/>
    </row>
    <row r="30" spans="1:24" ht="33.75" x14ac:dyDescent="0.2">
      <c r="A30" s="18">
        <v>21</v>
      </c>
      <c r="B30" s="7" t="s">
        <v>706</v>
      </c>
      <c r="C30" s="5" t="s">
        <v>909</v>
      </c>
      <c r="D30" s="13">
        <v>142</v>
      </c>
      <c r="E30" s="7" t="s">
        <v>706</v>
      </c>
      <c r="F30" s="18" t="s">
        <v>677</v>
      </c>
      <c r="G30" s="42">
        <v>36500</v>
      </c>
      <c r="H30" s="24">
        <f>12/1.12</f>
        <v>10.714285714285714</v>
      </c>
      <c r="I30" s="23">
        <f t="shared" si="1"/>
        <v>391071.42857142852</v>
      </c>
      <c r="J30" s="18" t="s">
        <v>43</v>
      </c>
      <c r="K30" s="18" t="s">
        <v>41</v>
      </c>
      <c r="L30" s="6"/>
      <c r="M30" s="6"/>
      <c r="N30" s="6"/>
      <c r="O30" s="6"/>
      <c r="P30" s="6"/>
      <c r="Q30" s="6"/>
      <c r="R30" s="6"/>
      <c r="S30" s="6"/>
      <c r="T30" s="6"/>
      <c r="U30"/>
      <c r="V30"/>
      <c r="W30"/>
      <c r="X30"/>
    </row>
    <row r="31" spans="1:24" ht="33.75" x14ac:dyDescent="0.2">
      <c r="A31" s="18">
        <v>22</v>
      </c>
      <c r="B31" s="7" t="s">
        <v>208</v>
      </c>
      <c r="C31" s="5" t="s">
        <v>909</v>
      </c>
      <c r="D31" s="13">
        <v>142</v>
      </c>
      <c r="E31" s="7" t="s">
        <v>208</v>
      </c>
      <c r="F31" s="18" t="s">
        <v>677</v>
      </c>
      <c r="G31" s="42">
        <v>15</v>
      </c>
      <c r="H31" s="24">
        <f>7500/1.12</f>
        <v>6696.4285714285706</v>
      </c>
      <c r="I31" s="23">
        <f t="shared" si="1"/>
        <v>100446.42857142857</v>
      </c>
      <c r="J31" s="18" t="s">
        <v>43</v>
      </c>
      <c r="K31" s="18" t="s">
        <v>41</v>
      </c>
      <c r="L31" s="6"/>
      <c r="M31" s="6"/>
      <c r="N31" s="6"/>
      <c r="O31" s="6"/>
      <c r="P31" s="6"/>
      <c r="Q31" s="6"/>
      <c r="R31" s="6"/>
      <c r="S31" s="6"/>
      <c r="T31" s="6"/>
      <c r="U31"/>
      <c r="V31"/>
      <c r="W31"/>
      <c r="X31"/>
    </row>
    <row r="32" spans="1:24" ht="33.75" x14ac:dyDescent="0.2">
      <c r="A32" s="18">
        <v>23</v>
      </c>
      <c r="B32" s="7" t="s">
        <v>209</v>
      </c>
      <c r="C32" s="5" t="s">
        <v>909</v>
      </c>
      <c r="D32" s="13">
        <v>142</v>
      </c>
      <c r="E32" s="7" t="s">
        <v>209</v>
      </c>
      <c r="F32" s="18" t="s">
        <v>48</v>
      </c>
      <c r="G32" s="42">
        <v>10</v>
      </c>
      <c r="H32" s="24">
        <f>2899/1.12</f>
        <v>2588.3928571428569</v>
      </c>
      <c r="I32" s="23">
        <f t="shared" si="1"/>
        <v>25883.928571428569</v>
      </c>
      <c r="J32" s="18" t="s">
        <v>43</v>
      </c>
      <c r="K32" s="18" t="s">
        <v>41</v>
      </c>
      <c r="L32" s="6"/>
      <c r="M32" s="6"/>
      <c r="N32" s="6"/>
      <c r="O32" s="6"/>
      <c r="P32" s="6"/>
      <c r="Q32" s="6"/>
      <c r="R32" s="6"/>
      <c r="S32" s="6"/>
      <c r="T32" s="6"/>
      <c r="U32"/>
      <c r="V32"/>
      <c r="W32"/>
      <c r="X32"/>
    </row>
    <row r="33" spans="1:24" ht="33.75" x14ac:dyDescent="0.2">
      <c r="A33" s="18">
        <v>24</v>
      </c>
      <c r="B33" s="7" t="s">
        <v>210</v>
      </c>
      <c r="C33" s="5" t="s">
        <v>909</v>
      </c>
      <c r="D33" s="13">
        <v>142</v>
      </c>
      <c r="E33" s="7" t="s">
        <v>210</v>
      </c>
      <c r="F33" s="18" t="s">
        <v>48</v>
      </c>
      <c r="G33" s="42">
        <v>3</v>
      </c>
      <c r="H33" s="24">
        <f>3380/1.12</f>
        <v>3017.8571428571427</v>
      </c>
      <c r="I33" s="23">
        <f t="shared" si="1"/>
        <v>9053.5714285714275</v>
      </c>
      <c r="J33" s="18" t="s">
        <v>43</v>
      </c>
      <c r="K33" s="18" t="s">
        <v>41</v>
      </c>
      <c r="L33" s="6"/>
      <c r="M33" s="6"/>
      <c r="N33" s="6"/>
      <c r="O33" s="6"/>
      <c r="P33" s="6"/>
      <c r="Q33" s="6"/>
      <c r="R33" s="6"/>
      <c r="S33" s="6"/>
      <c r="T33" s="6"/>
      <c r="U33"/>
      <c r="V33"/>
      <c r="W33"/>
      <c r="X33"/>
    </row>
    <row r="34" spans="1:24" ht="33.75" x14ac:dyDescent="0.2">
      <c r="A34" s="18">
        <v>25</v>
      </c>
      <c r="B34" s="7" t="s">
        <v>211</v>
      </c>
      <c r="C34" s="5" t="s">
        <v>909</v>
      </c>
      <c r="D34" s="13">
        <v>142</v>
      </c>
      <c r="E34" s="7" t="s">
        <v>211</v>
      </c>
      <c r="F34" s="18" t="s">
        <v>48</v>
      </c>
      <c r="G34" s="42">
        <v>20</v>
      </c>
      <c r="H34" s="24">
        <f>3900/1.12</f>
        <v>3482.1428571428569</v>
      </c>
      <c r="I34" s="23">
        <f t="shared" si="1"/>
        <v>69642.85714285713</v>
      </c>
      <c r="J34" s="18" t="s">
        <v>43</v>
      </c>
      <c r="K34" s="18" t="s">
        <v>41</v>
      </c>
      <c r="L34" s="6"/>
      <c r="M34" s="6"/>
      <c r="N34" s="6"/>
      <c r="O34" s="6"/>
      <c r="P34" s="6"/>
      <c r="Q34" s="6"/>
      <c r="R34" s="6"/>
      <c r="S34" s="6"/>
      <c r="T34" s="6"/>
      <c r="U34"/>
      <c r="V34"/>
      <c r="W34"/>
      <c r="X34"/>
    </row>
    <row r="35" spans="1:24" ht="33.75" x14ac:dyDescent="0.2">
      <c r="A35" s="18">
        <v>26</v>
      </c>
      <c r="B35" s="7" t="s">
        <v>212</v>
      </c>
      <c r="C35" s="5" t="s">
        <v>909</v>
      </c>
      <c r="D35" s="13">
        <v>142</v>
      </c>
      <c r="E35" s="7" t="s">
        <v>212</v>
      </c>
      <c r="F35" s="18" t="s">
        <v>48</v>
      </c>
      <c r="G35" s="42">
        <v>2</v>
      </c>
      <c r="H35" s="24">
        <f>4800/1.12</f>
        <v>4285.7142857142853</v>
      </c>
      <c r="I35" s="23">
        <f t="shared" si="1"/>
        <v>8571.4285714285706</v>
      </c>
      <c r="J35" s="18" t="s">
        <v>43</v>
      </c>
      <c r="K35" s="18" t="s">
        <v>41</v>
      </c>
      <c r="L35" s="6"/>
      <c r="M35" s="6"/>
      <c r="N35" s="6"/>
      <c r="O35" s="6"/>
      <c r="P35" s="6"/>
      <c r="Q35" s="6"/>
      <c r="R35" s="6"/>
      <c r="S35" s="6"/>
      <c r="T35" s="6"/>
      <c r="U35"/>
      <c r="V35"/>
      <c r="W35"/>
      <c r="X35"/>
    </row>
    <row r="36" spans="1:24" ht="33.75" x14ac:dyDescent="0.2">
      <c r="A36" s="18">
        <v>27</v>
      </c>
      <c r="B36" s="7" t="s">
        <v>213</v>
      </c>
      <c r="C36" s="5" t="s">
        <v>909</v>
      </c>
      <c r="D36" s="13">
        <v>142</v>
      </c>
      <c r="E36" s="7" t="s">
        <v>213</v>
      </c>
      <c r="F36" s="18" t="s">
        <v>48</v>
      </c>
      <c r="G36" s="42">
        <v>2</v>
      </c>
      <c r="H36" s="24">
        <f>4800/1.12</f>
        <v>4285.7142857142853</v>
      </c>
      <c r="I36" s="23">
        <f t="shared" si="1"/>
        <v>8571.4285714285706</v>
      </c>
      <c r="J36" s="18" t="s">
        <v>43</v>
      </c>
      <c r="K36" s="18" t="s">
        <v>41</v>
      </c>
      <c r="L36" s="6"/>
      <c r="M36" s="6"/>
      <c r="N36" s="6"/>
      <c r="O36" s="6"/>
      <c r="P36" s="6"/>
      <c r="Q36" s="6"/>
      <c r="R36" s="6"/>
      <c r="S36" s="6"/>
      <c r="T36" s="6"/>
      <c r="U36"/>
      <c r="V36"/>
      <c r="W36"/>
      <c r="X36"/>
    </row>
    <row r="37" spans="1:24" ht="33.75" x14ac:dyDescent="0.2">
      <c r="A37" s="18">
        <v>28</v>
      </c>
      <c r="B37" s="7" t="s">
        <v>214</v>
      </c>
      <c r="C37" s="5" t="s">
        <v>909</v>
      </c>
      <c r="D37" s="13">
        <v>142</v>
      </c>
      <c r="E37" s="7" t="s">
        <v>214</v>
      </c>
      <c r="F37" s="18" t="s">
        <v>48</v>
      </c>
      <c r="G37" s="42">
        <v>2</v>
      </c>
      <c r="H37" s="24">
        <f>4800/1.12</f>
        <v>4285.7142857142853</v>
      </c>
      <c r="I37" s="23">
        <f t="shared" si="1"/>
        <v>8571.4285714285706</v>
      </c>
      <c r="J37" s="18" t="s">
        <v>43</v>
      </c>
      <c r="K37" s="18" t="s">
        <v>41</v>
      </c>
      <c r="L37" s="6"/>
      <c r="M37" s="6"/>
      <c r="N37" s="6"/>
      <c r="O37" s="6"/>
      <c r="P37" s="6"/>
      <c r="Q37" s="6"/>
      <c r="R37" s="6"/>
      <c r="S37" s="6"/>
      <c r="T37" s="6"/>
      <c r="U37"/>
      <c r="V37"/>
      <c r="W37"/>
      <c r="X37"/>
    </row>
    <row r="38" spans="1:24" ht="33.75" x14ac:dyDescent="0.2">
      <c r="A38" s="18">
        <v>29</v>
      </c>
      <c r="B38" s="7" t="s">
        <v>215</v>
      </c>
      <c r="C38" s="5" t="s">
        <v>909</v>
      </c>
      <c r="D38" s="13">
        <v>142</v>
      </c>
      <c r="E38" s="7" t="s">
        <v>215</v>
      </c>
      <c r="F38" s="18" t="s">
        <v>677</v>
      </c>
      <c r="G38" s="42">
        <v>4</v>
      </c>
      <c r="H38" s="24">
        <f>4000/1.12</f>
        <v>3571.4285714285711</v>
      </c>
      <c r="I38" s="23">
        <f t="shared" si="1"/>
        <v>14285.714285714284</v>
      </c>
      <c r="J38" s="18" t="s">
        <v>43</v>
      </c>
      <c r="K38" s="18" t="s">
        <v>41</v>
      </c>
      <c r="L38" s="6"/>
      <c r="M38" s="6"/>
      <c r="N38" s="6"/>
      <c r="O38" s="6"/>
      <c r="P38" s="6"/>
      <c r="Q38" s="6"/>
      <c r="R38" s="6"/>
      <c r="S38" s="6"/>
      <c r="T38" s="6"/>
      <c r="U38"/>
      <c r="V38"/>
      <c r="W38"/>
      <c r="X38"/>
    </row>
    <row r="39" spans="1:24" ht="33.75" x14ac:dyDescent="0.2">
      <c r="A39" s="18">
        <v>30</v>
      </c>
      <c r="B39" s="7" t="s">
        <v>216</v>
      </c>
      <c r="C39" s="5" t="s">
        <v>909</v>
      </c>
      <c r="D39" s="13">
        <v>142</v>
      </c>
      <c r="E39" s="7" t="s">
        <v>216</v>
      </c>
      <c r="F39" s="18" t="s">
        <v>677</v>
      </c>
      <c r="G39" s="42">
        <v>4</v>
      </c>
      <c r="H39" s="24">
        <f>5000/1.12</f>
        <v>4464.2857142857138</v>
      </c>
      <c r="I39" s="23">
        <f t="shared" si="1"/>
        <v>17857.142857142855</v>
      </c>
      <c r="J39" s="18" t="s">
        <v>43</v>
      </c>
      <c r="K39" s="18" t="s">
        <v>41</v>
      </c>
      <c r="L39" s="6"/>
      <c r="M39" s="6"/>
      <c r="N39" s="6"/>
      <c r="O39" s="6"/>
      <c r="P39" s="6"/>
      <c r="Q39" s="6"/>
      <c r="R39" s="6"/>
      <c r="S39" s="6"/>
      <c r="T39" s="6"/>
      <c r="U39"/>
      <c r="V39"/>
      <c r="W39"/>
      <c r="X39"/>
    </row>
    <row r="40" spans="1:24" ht="33.75" x14ac:dyDescent="0.2">
      <c r="A40" s="18">
        <v>31</v>
      </c>
      <c r="B40" s="7" t="s">
        <v>217</v>
      </c>
      <c r="C40" s="5" t="s">
        <v>909</v>
      </c>
      <c r="D40" s="13">
        <v>142</v>
      </c>
      <c r="E40" s="7" t="s">
        <v>217</v>
      </c>
      <c r="F40" s="18" t="s">
        <v>677</v>
      </c>
      <c r="G40" s="42">
        <v>1</v>
      </c>
      <c r="H40" s="24">
        <f>6000/1.12</f>
        <v>5357.1428571428569</v>
      </c>
      <c r="I40" s="23">
        <f t="shared" si="1"/>
        <v>5357.1428571428569</v>
      </c>
      <c r="J40" s="18" t="s">
        <v>43</v>
      </c>
      <c r="K40" s="18" t="s">
        <v>41</v>
      </c>
      <c r="L40" s="6"/>
      <c r="M40" s="6"/>
      <c r="N40" s="6"/>
      <c r="O40" s="6"/>
      <c r="P40" s="6"/>
      <c r="Q40" s="6"/>
      <c r="R40" s="6"/>
      <c r="S40" s="6"/>
      <c r="T40" s="6"/>
      <c r="U40"/>
      <c r="V40"/>
      <c r="W40"/>
      <c r="X40"/>
    </row>
    <row r="41" spans="1:24" ht="33.75" x14ac:dyDescent="0.2">
      <c r="A41" s="18">
        <v>32</v>
      </c>
      <c r="B41" s="7" t="s">
        <v>218</v>
      </c>
      <c r="C41" s="5" t="s">
        <v>909</v>
      </c>
      <c r="D41" s="13">
        <v>142</v>
      </c>
      <c r="E41" s="7" t="s">
        <v>218</v>
      </c>
      <c r="F41" s="18" t="s">
        <v>677</v>
      </c>
      <c r="G41" s="42">
        <v>2000</v>
      </c>
      <c r="H41" s="24">
        <f>700/1.12</f>
        <v>624.99999999999989</v>
      </c>
      <c r="I41" s="23">
        <f t="shared" si="1"/>
        <v>1249999.9999999998</v>
      </c>
      <c r="J41" s="18" t="s">
        <v>43</v>
      </c>
      <c r="K41" s="18" t="s">
        <v>41</v>
      </c>
      <c r="L41" s="6"/>
      <c r="M41" s="6"/>
      <c r="N41" s="6"/>
      <c r="O41" s="6"/>
      <c r="P41" s="6"/>
      <c r="Q41" s="6"/>
      <c r="R41" s="6"/>
      <c r="S41" s="6"/>
      <c r="T41" s="6"/>
      <c r="U41"/>
      <c r="V41"/>
      <c r="W41"/>
      <c r="X41"/>
    </row>
    <row r="42" spans="1:24" ht="33.75" x14ac:dyDescent="0.2">
      <c r="A42" s="18">
        <v>33</v>
      </c>
      <c r="B42" s="7" t="s">
        <v>219</v>
      </c>
      <c r="C42" s="5" t="s">
        <v>909</v>
      </c>
      <c r="D42" s="13">
        <v>142</v>
      </c>
      <c r="E42" s="7" t="s">
        <v>219</v>
      </c>
      <c r="F42" s="18" t="s">
        <v>677</v>
      </c>
      <c r="G42" s="42">
        <v>50</v>
      </c>
      <c r="H42" s="24">
        <f>370/1.12</f>
        <v>330.35714285714283</v>
      </c>
      <c r="I42" s="23">
        <f t="shared" si="1"/>
        <v>16517.857142857141</v>
      </c>
      <c r="J42" s="18" t="s">
        <v>43</v>
      </c>
      <c r="K42" s="18" t="s">
        <v>41</v>
      </c>
      <c r="L42" s="6"/>
      <c r="M42" s="6"/>
      <c r="N42" s="6"/>
      <c r="O42" s="6"/>
      <c r="P42" s="6"/>
      <c r="Q42" s="6"/>
      <c r="R42" s="6"/>
      <c r="S42" s="6"/>
      <c r="T42" s="6"/>
      <c r="U42"/>
      <c r="V42"/>
      <c r="W42"/>
      <c r="X42"/>
    </row>
    <row r="43" spans="1:24" ht="33.75" x14ac:dyDescent="0.2">
      <c r="A43" s="18">
        <v>34</v>
      </c>
      <c r="B43" s="7" t="s">
        <v>220</v>
      </c>
      <c r="C43" s="5" t="s">
        <v>909</v>
      </c>
      <c r="D43" s="13">
        <v>142</v>
      </c>
      <c r="E43" s="7" t="s">
        <v>220</v>
      </c>
      <c r="F43" s="18" t="s">
        <v>20</v>
      </c>
      <c r="G43" s="42">
        <v>45</v>
      </c>
      <c r="H43" s="24">
        <f>80121.6/1.12</f>
        <v>71537.142857142855</v>
      </c>
      <c r="I43" s="23">
        <f t="shared" si="1"/>
        <v>3219171.4285714286</v>
      </c>
      <c r="J43" s="18" t="s">
        <v>43</v>
      </c>
      <c r="K43" s="18" t="s">
        <v>41</v>
      </c>
      <c r="L43" s="6"/>
      <c r="M43" s="6"/>
      <c r="N43" s="6"/>
      <c r="O43" s="6"/>
      <c r="P43" s="6"/>
      <c r="Q43" s="6"/>
      <c r="R43" s="6"/>
      <c r="S43" s="6"/>
      <c r="T43" s="6"/>
      <c r="U43"/>
      <c r="V43"/>
      <c r="W43"/>
      <c r="X43"/>
    </row>
    <row r="44" spans="1:24" ht="33.75" x14ac:dyDescent="0.2">
      <c r="A44" s="18">
        <v>35</v>
      </c>
      <c r="B44" s="7" t="s">
        <v>221</v>
      </c>
      <c r="C44" s="5" t="s">
        <v>909</v>
      </c>
      <c r="D44" s="13">
        <v>142</v>
      </c>
      <c r="E44" s="7" t="s">
        <v>221</v>
      </c>
      <c r="F44" s="18" t="s">
        <v>48</v>
      </c>
      <c r="G44" s="42">
        <v>3</v>
      </c>
      <c r="H44" s="24">
        <f>12950/1.12</f>
        <v>11562.499999999998</v>
      </c>
      <c r="I44" s="23">
        <f t="shared" si="1"/>
        <v>34687.499999999993</v>
      </c>
      <c r="J44" s="18" t="s">
        <v>43</v>
      </c>
      <c r="K44" s="18" t="s">
        <v>41</v>
      </c>
      <c r="L44" s="6"/>
      <c r="M44" s="6"/>
      <c r="N44" s="6"/>
      <c r="O44" s="6"/>
      <c r="P44" s="6"/>
      <c r="Q44" s="6"/>
      <c r="R44" s="6"/>
      <c r="S44" s="6"/>
      <c r="T44" s="6"/>
      <c r="U44"/>
      <c r="V44"/>
      <c r="W44"/>
      <c r="X44"/>
    </row>
    <row r="45" spans="1:24" ht="33.75" x14ac:dyDescent="0.2">
      <c r="A45" s="18">
        <v>36</v>
      </c>
      <c r="B45" s="7" t="s">
        <v>222</v>
      </c>
      <c r="C45" s="5" t="s">
        <v>909</v>
      </c>
      <c r="D45" s="13">
        <v>142</v>
      </c>
      <c r="E45" s="7" t="s">
        <v>222</v>
      </c>
      <c r="F45" s="18" t="s">
        <v>52</v>
      </c>
      <c r="G45" s="42">
        <v>6</v>
      </c>
      <c r="H45" s="24">
        <f>28166/1.12</f>
        <v>25148.214285714283</v>
      </c>
      <c r="I45" s="23">
        <f t="shared" si="1"/>
        <v>150889.28571428568</v>
      </c>
      <c r="J45" s="18" t="s">
        <v>43</v>
      </c>
      <c r="K45" s="18" t="s">
        <v>41</v>
      </c>
      <c r="L45" s="6"/>
      <c r="M45" s="6"/>
      <c r="N45" s="6"/>
      <c r="O45" s="6"/>
      <c r="P45" s="6"/>
      <c r="Q45" s="6"/>
      <c r="R45" s="6"/>
      <c r="S45" s="6"/>
      <c r="T45" s="6"/>
      <c r="U45"/>
      <c r="V45"/>
      <c r="W45"/>
      <c r="X45"/>
    </row>
    <row r="46" spans="1:24" ht="33.75" x14ac:dyDescent="0.2">
      <c r="A46" s="18">
        <v>37</v>
      </c>
      <c r="B46" s="7" t="s">
        <v>223</v>
      </c>
      <c r="C46" s="5" t="s">
        <v>909</v>
      </c>
      <c r="D46" s="13">
        <v>142</v>
      </c>
      <c r="E46" s="7" t="s">
        <v>223</v>
      </c>
      <c r="F46" s="18" t="s">
        <v>52</v>
      </c>
      <c r="G46" s="42">
        <v>3</v>
      </c>
      <c r="H46" s="24">
        <f>50976/1.12</f>
        <v>45514.28571428571</v>
      </c>
      <c r="I46" s="23">
        <f t="shared" si="1"/>
        <v>136542.85714285713</v>
      </c>
      <c r="J46" s="18" t="s">
        <v>43</v>
      </c>
      <c r="K46" s="18" t="s">
        <v>41</v>
      </c>
      <c r="L46" s="6"/>
      <c r="M46" s="6"/>
      <c r="N46" s="6"/>
      <c r="O46" s="6"/>
      <c r="P46" s="6"/>
      <c r="Q46" s="6"/>
      <c r="R46" s="6"/>
      <c r="S46" s="6"/>
      <c r="T46" s="6"/>
      <c r="U46"/>
      <c r="V46"/>
      <c r="W46"/>
      <c r="X46"/>
    </row>
    <row r="47" spans="1:24" ht="33.75" x14ac:dyDescent="0.2">
      <c r="A47" s="18">
        <v>38</v>
      </c>
      <c r="B47" s="7" t="s">
        <v>224</v>
      </c>
      <c r="C47" s="5" t="s">
        <v>909</v>
      </c>
      <c r="D47" s="13">
        <v>142</v>
      </c>
      <c r="E47" s="7" t="s">
        <v>224</v>
      </c>
      <c r="F47" s="18" t="s">
        <v>52</v>
      </c>
      <c r="G47" s="42">
        <v>3</v>
      </c>
      <c r="H47" s="24">
        <f>16560/1.12</f>
        <v>14785.714285714284</v>
      </c>
      <c r="I47" s="23">
        <f t="shared" si="1"/>
        <v>44357.142857142855</v>
      </c>
      <c r="J47" s="18" t="s">
        <v>43</v>
      </c>
      <c r="K47" s="18" t="s">
        <v>41</v>
      </c>
      <c r="L47" s="6"/>
      <c r="M47" s="6"/>
      <c r="N47" s="6"/>
      <c r="O47" s="6"/>
      <c r="P47" s="6"/>
      <c r="Q47" s="6"/>
      <c r="R47" s="6"/>
      <c r="S47" s="6"/>
      <c r="T47" s="6"/>
      <c r="U47"/>
      <c r="V47"/>
      <c r="W47"/>
      <c r="X47"/>
    </row>
    <row r="48" spans="1:24" ht="33.75" x14ac:dyDescent="0.2">
      <c r="A48" s="18">
        <v>39</v>
      </c>
      <c r="B48" s="7" t="s">
        <v>225</v>
      </c>
      <c r="C48" s="5" t="s">
        <v>909</v>
      </c>
      <c r="D48" s="13">
        <v>142</v>
      </c>
      <c r="E48" s="7" t="s">
        <v>225</v>
      </c>
      <c r="F48" s="18" t="s">
        <v>52</v>
      </c>
      <c r="G48" s="42">
        <v>10</v>
      </c>
      <c r="H48" s="24">
        <f>19440/1.12</f>
        <v>17357.142857142855</v>
      </c>
      <c r="I48" s="23">
        <f t="shared" si="1"/>
        <v>173571.42857142855</v>
      </c>
      <c r="J48" s="18" t="s">
        <v>43</v>
      </c>
      <c r="K48" s="18" t="s">
        <v>41</v>
      </c>
      <c r="L48" s="6"/>
      <c r="M48" s="6"/>
      <c r="N48" s="6"/>
      <c r="O48" s="6"/>
      <c r="P48" s="6"/>
      <c r="Q48" s="6"/>
      <c r="R48" s="6"/>
      <c r="S48" s="6"/>
      <c r="T48" s="6"/>
      <c r="U48"/>
      <c r="V48"/>
      <c r="W48"/>
      <c r="X48"/>
    </row>
    <row r="49" spans="1:24" ht="33.75" x14ac:dyDescent="0.2">
      <c r="A49" s="18">
        <v>40</v>
      </c>
      <c r="B49" s="7" t="s">
        <v>226</v>
      </c>
      <c r="C49" s="5" t="s">
        <v>909</v>
      </c>
      <c r="D49" s="13">
        <v>142</v>
      </c>
      <c r="E49" s="7" t="s">
        <v>226</v>
      </c>
      <c r="F49" s="18" t="s">
        <v>52</v>
      </c>
      <c r="G49" s="42">
        <v>1</v>
      </c>
      <c r="H49" s="24">
        <f>38880/1.12</f>
        <v>34714.28571428571</v>
      </c>
      <c r="I49" s="23">
        <f t="shared" si="1"/>
        <v>34714.28571428571</v>
      </c>
      <c r="J49" s="18" t="s">
        <v>43</v>
      </c>
      <c r="K49" s="18" t="s">
        <v>41</v>
      </c>
      <c r="L49" s="6"/>
      <c r="M49" s="6"/>
      <c r="N49" s="6"/>
      <c r="O49" s="6"/>
      <c r="P49" s="6"/>
      <c r="Q49" s="6"/>
      <c r="R49" s="6"/>
      <c r="S49" s="6"/>
      <c r="T49" s="6"/>
      <c r="U49"/>
      <c r="V49"/>
      <c r="W49"/>
      <c r="X49"/>
    </row>
    <row r="50" spans="1:24" ht="35.25" customHeight="1" x14ac:dyDescent="0.2">
      <c r="A50" s="18">
        <v>41</v>
      </c>
      <c r="B50" s="7" t="s">
        <v>227</v>
      </c>
      <c r="C50" s="5" t="s">
        <v>909</v>
      </c>
      <c r="D50" s="13">
        <v>142</v>
      </c>
      <c r="E50" s="7" t="s">
        <v>227</v>
      </c>
      <c r="F50" s="18" t="s">
        <v>48</v>
      </c>
      <c r="G50" s="42">
        <v>5</v>
      </c>
      <c r="H50" s="24">
        <f>41250/1.12</f>
        <v>36830.357142857138</v>
      </c>
      <c r="I50" s="23">
        <f t="shared" si="1"/>
        <v>184151.78571428568</v>
      </c>
      <c r="J50" s="18" t="s">
        <v>43</v>
      </c>
      <c r="K50" s="18" t="s">
        <v>41</v>
      </c>
      <c r="L50" s="6"/>
      <c r="M50" s="6"/>
      <c r="N50" s="6"/>
      <c r="O50" s="6"/>
      <c r="P50" s="6"/>
      <c r="Q50" s="6"/>
      <c r="R50" s="6"/>
      <c r="S50" s="6"/>
      <c r="T50" s="6"/>
      <c r="U50"/>
      <c r="V50"/>
      <c r="W50"/>
      <c r="X50"/>
    </row>
    <row r="51" spans="1:24" ht="45" x14ac:dyDescent="0.2">
      <c r="A51" s="18">
        <v>42</v>
      </c>
      <c r="B51" s="7" t="s">
        <v>228</v>
      </c>
      <c r="C51" s="5" t="s">
        <v>909</v>
      </c>
      <c r="D51" s="13">
        <v>142</v>
      </c>
      <c r="E51" s="7" t="s">
        <v>228</v>
      </c>
      <c r="F51" s="18" t="s">
        <v>48</v>
      </c>
      <c r="G51" s="42">
        <v>1</v>
      </c>
      <c r="H51" s="24">
        <f>3030/1.12</f>
        <v>2705.3571428571427</v>
      </c>
      <c r="I51" s="23">
        <f t="shared" si="1"/>
        <v>2705.3571428571427</v>
      </c>
      <c r="J51" s="18" t="s">
        <v>43</v>
      </c>
      <c r="K51" s="18" t="s">
        <v>41</v>
      </c>
      <c r="L51" s="6"/>
      <c r="M51" s="6"/>
      <c r="N51" s="6"/>
      <c r="O51" s="6"/>
      <c r="P51" s="6"/>
      <c r="Q51" s="6"/>
      <c r="R51" s="6"/>
      <c r="S51" s="6"/>
      <c r="T51" s="6"/>
      <c r="U51"/>
      <c r="V51"/>
      <c r="W51"/>
      <c r="X51"/>
    </row>
    <row r="52" spans="1:24" ht="33.75" x14ac:dyDescent="0.2">
      <c r="A52" s="18">
        <v>43</v>
      </c>
      <c r="B52" s="7" t="s">
        <v>229</v>
      </c>
      <c r="C52" s="5" t="s">
        <v>909</v>
      </c>
      <c r="D52" s="13">
        <v>142</v>
      </c>
      <c r="E52" s="7" t="s">
        <v>229</v>
      </c>
      <c r="F52" s="18" t="s">
        <v>677</v>
      </c>
      <c r="G52" s="42">
        <v>1</v>
      </c>
      <c r="H52" s="24">
        <f>84744/1.12</f>
        <v>75664.28571428571</v>
      </c>
      <c r="I52" s="23">
        <f t="shared" si="1"/>
        <v>75664.28571428571</v>
      </c>
      <c r="J52" s="18" t="s">
        <v>43</v>
      </c>
      <c r="K52" s="18" t="s">
        <v>41</v>
      </c>
      <c r="L52" s="6"/>
      <c r="M52" s="6"/>
      <c r="N52" s="6"/>
      <c r="O52" s="6"/>
      <c r="P52" s="6"/>
      <c r="Q52" s="6"/>
      <c r="R52" s="6"/>
      <c r="S52" s="6"/>
      <c r="T52" s="6"/>
      <c r="U52"/>
      <c r="V52"/>
      <c r="W52"/>
      <c r="X52"/>
    </row>
    <row r="53" spans="1:24" ht="33.75" x14ac:dyDescent="0.2">
      <c r="A53" s="18">
        <v>44</v>
      </c>
      <c r="B53" s="7" t="s">
        <v>230</v>
      </c>
      <c r="C53" s="5" t="s">
        <v>909</v>
      </c>
      <c r="D53" s="13">
        <v>142</v>
      </c>
      <c r="E53" s="7" t="s">
        <v>230</v>
      </c>
      <c r="F53" s="18" t="s">
        <v>677</v>
      </c>
      <c r="G53" s="42">
        <v>1</v>
      </c>
      <c r="H53" s="24">
        <f>6000/1.12</f>
        <v>5357.1428571428569</v>
      </c>
      <c r="I53" s="23">
        <f t="shared" si="1"/>
        <v>5357.1428571428569</v>
      </c>
      <c r="J53" s="18" t="s">
        <v>43</v>
      </c>
      <c r="K53" s="18" t="s">
        <v>41</v>
      </c>
      <c r="L53" s="6"/>
      <c r="M53" s="6"/>
      <c r="N53" s="6"/>
      <c r="O53" s="6"/>
      <c r="P53" s="6"/>
      <c r="Q53" s="6"/>
      <c r="R53" s="6"/>
      <c r="S53" s="6"/>
      <c r="T53" s="6"/>
      <c r="U53"/>
      <c r="V53"/>
      <c r="W53"/>
      <c r="X53"/>
    </row>
    <row r="54" spans="1:24" ht="33.75" x14ac:dyDescent="0.2">
      <c r="A54" s="18">
        <v>45</v>
      </c>
      <c r="B54" s="7" t="s">
        <v>231</v>
      </c>
      <c r="C54" s="5" t="s">
        <v>909</v>
      </c>
      <c r="D54" s="13">
        <v>142</v>
      </c>
      <c r="E54" s="7" t="s">
        <v>707</v>
      </c>
      <c r="F54" s="18" t="s">
        <v>52</v>
      </c>
      <c r="G54" s="42">
        <v>5</v>
      </c>
      <c r="H54" s="24">
        <f>1765.5/1.12</f>
        <v>1576.3392857142856</v>
      </c>
      <c r="I54" s="23">
        <f t="shared" si="1"/>
        <v>7881.6964285714275</v>
      </c>
      <c r="J54" s="18" t="s">
        <v>43</v>
      </c>
      <c r="K54" s="18" t="s">
        <v>41</v>
      </c>
      <c r="L54" s="6"/>
      <c r="M54" s="6"/>
      <c r="N54" s="6"/>
      <c r="O54" s="6"/>
      <c r="P54" s="6"/>
      <c r="Q54" s="6"/>
      <c r="R54" s="6"/>
      <c r="S54" s="6"/>
      <c r="T54" s="6"/>
      <c r="U54"/>
      <c r="V54"/>
      <c r="W54"/>
      <c r="X54"/>
    </row>
    <row r="55" spans="1:24" ht="33.75" x14ac:dyDescent="0.2">
      <c r="A55" s="18">
        <v>46</v>
      </c>
      <c r="B55" s="7" t="s">
        <v>232</v>
      </c>
      <c r="C55" s="5" t="s">
        <v>909</v>
      </c>
      <c r="D55" s="13">
        <v>142</v>
      </c>
      <c r="E55" s="7" t="s">
        <v>232</v>
      </c>
      <c r="F55" s="18" t="s">
        <v>677</v>
      </c>
      <c r="G55" s="42">
        <v>1000</v>
      </c>
      <c r="H55" s="24">
        <f>60/1.12</f>
        <v>53.571428571428569</v>
      </c>
      <c r="I55" s="23">
        <f t="shared" si="1"/>
        <v>53571.428571428572</v>
      </c>
      <c r="J55" s="18" t="s">
        <v>43</v>
      </c>
      <c r="K55" s="18" t="s">
        <v>41</v>
      </c>
      <c r="L55" s="6"/>
      <c r="M55" s="6"/>
      <c r="N55" s="6"/>
      <c r="O55" s="6"/>
      <c r="P55" s="6"/>
      <c r="Q55" s="6"/>
      <c r="R55" s="6"/>
      <c r="S55" s="6"/>
      <c r="T55" s="6"/>
      <c r="U55"/>
      <c r="V55"/>
      <c r="W55"/>
      <c r="X55"/>
    </row>
    <row r="56" spans="1:24" ht="33.75" x14ac:dyDescent="0.2">
      <c r="A56" s="18">
        <v>47</v>
      </c>
      <c r="B56" s="7" t="s">
        <v>233</v>
      </c>
      <c r="C56" s="5" t="s">
        <v>909</v>
      </c>
      <c r="D56" s="13">
        <v>142</v>
      </c>
      <c r="E56" s="7" t="s">
        <v>233</v>
      </c>
      <c r="F56" s="18" t="s">
        <v>677</v>
      </c>
      <c r="G56" s="42">
        <v>200</v>
      </c>
      <c r="H56" s="24">
        <f>2800/1.12</f>
        <v>2499.9999999999995</v>
      </c>
      <c r="I56" s="23">
        <f t="shared" si="1"/>
        <v>499999.99999999988</v>
      </c>
      <c r="J56" s="18" t="s">
        <v>43</v>
      </c>
      <c r="K56" s="18" t="s">
        <v>41</v>
      </c>
      <c r="L56" s="6"/>
      <c r="M56" s="6"/>
      <c r="N56" s="6"/>
      <c r="O56" s="6"/>
      <c r="P56" s="6"/>
      <c r="Q56" s="6"/>
      <c r="R56" s="6"/>
      <c r="S56" s="6"/>
      <c r="T56" s="6"/>
      <c r="U56"/>
      <c r="V56"/>
      <c r="W56"/>
      <c r="X56"/>
    </row>
    <row r="57" spans="1:24" ht="33.75" x14ac:dyDescent="0.2">
      <c r="A57" s="18">
        <v>48</v>
      </c>
      <c r="B57" s="7" t="s">
        <v>234</v>
      </c>
      <c r="C57" s="5" t="s">
        <v>909</v>
      </c>
      <c r="D57" s="13">
        <v>142</v>
      </c>
      <c r="E57" s="7" t="s">
        <v>234</v>
      </c>
      <c r="F57" s="18" t="s">
        <v>677</v>
      </c>
      <c r="G57" s="42">
        <v>10</v>
      </c>
      <c r="H57" s="24">
        <f>2800/1.12</f>
        <v>2499.9999999999995</v>
      </c>
      <c r="I57" s="23">
        <f t="shared" si="1"/>
        <v>24999.999999999996</v>
      </c>
      <c r="J57" s="18" t="s">
        <v>43</v>
      </c>
      <c r="K57" s="18" t="s">
        <v>41</v>
      </c>
      <c r="L57" s="6"/>
      <c r="M57" s="6"/>
      <c r="N57" s="6"/>
      <c r="O57" s="6"/>
      <c r="P57" s="6"/>
      <c r="Q57" s="6"/>
      <c r="R57" s="6"/>
      <c r="S57" s="6"/>
      <c r="T57" s="6"/>
      <c r="U57"/>
      <c r="V57"/>
      <c r="W57"/>
      <c r="X57"/>
    </row>
    <row r="58" spans="1:24" ht="33.75" x14ac:dyDescent="0.2">
      <c r="A58" s="18">
        <v>49</v>
      </c>
      <c r="B58" s="7" t="s">
        <v>235</v>
      </c>
      <c r="C58" s="5" t="s">
        <v>909</v>
      </c>
      <c r="D58" s="13">
        <v>142</v>
      </c>
      <c r="E58" s="7" t="s">
        <v>235</v>
      </c>
      <c r="F58" s="18" t="s">
        <v>677</v>
      </c>
      <c r="G58" s="42">
        <v>4000</v>
      </c>
      <c r="H58" s="24">
        <f>80/1.12</f>
        <v>71.428571428571416</v>
      </c>
      <c r="I58" s="23">
        <f t="shared" si="1"/>
        <v>285714.28571428568</v>
      </c>
      <c r="J58" s="18" t="s">
        <v>43</v>
      </c>
      <c r="K58" s="18" t="s">
        <v>41</v>
      </c>
      <c r="L58" s="6"/>
      <c r="M58" s="6"/>
      <c r="N58" s="6"/>
      <c r="O58" s="6"/>
      <c r="P58" s="6"/>
      <c r="Q58" s="6"/>
      <c r="R58" s="6"/>
      <c r="S58" s="6"/>
      <c r="T58" s="6"/>
      <c r="U58"/>
      <c r="V58"/>
      <c r="W58"/>
      <c r="X58"/>
    </row>
    <row r="59" spans="1:24" ht="33.75" x14ac:dyDescent="0.2">
      <c r="A59" s="18">
        <v>50</v>
      </c>
      <c r="B59" s="7" t="s">
        <v>236</v>
      </c>
      <c r="C59" s="5" t="s">
        <v>909</v>
      </c>
      <c r="D59" s="13">
        <v>142</v>
      </c>
      <c r="E59" s="7" t="s">
        <v>236</v>
      </c>
      <c r="F59" s="18" t="s">
        <v>677</v>
      </c>
      <c r="G59" s="42">
        <v>4000</v>
      </c>
      <c r="H59" s="24">
        <f>100/1.12</f>
        <v>89.285714285714278</v>
      </c>
      <c r="I59" s="23">
        <f t="shared" si="1"/>
        <v>357142.8571428571</v>
      </c>
      <c r="J59" s="18" t="s">
        <v>43</v>
      </c>
      <c r="K59" s="18" t="s">
        <v>41</v>
      </c>
      <c r="L59" s="6"/>
      <c r="M59" s="6"/>
      <c r="N59" s="6"/>
      <c r="O59" s="6"/>
      <c r="P59" s="6"/>
      <c r="Q59" s="6"/>
      <c r="R59" s="6"/>
      <c r="S59" s="6"/>
      <c r="T59" s="6"/>
      <c r="U59"/>
      <c r="V59"/>
      <c r="W59"/>
      <c r="X59"/>
    </row>
    <row r="60" spans="1:24" ht="33.75" x14ac:dyDescent="0.2">
      <c r="A60" s="18">
        <v>51</v>
      </c>
      <c r="B60" s="7" t="s">
        <v>237</v>
      </c>
      <c r="C60" s="5" t="s">
        <v>909</v>
      </c>
      <c r="D60" s="13">
        <v>142</v>
      </c>
      <c r="E60" s="7" t="s">
        <v>237</v>
      </c>
      <c r="F60" s="18" t="s">
        <v>677</v>
      </c>
      <c r="G60" s="42">
        <v>10000</v>
      </c>
      <c r="H60" s="24">
        <f>95/1.12</f>
        <v>84.821428571428569</v>
      </c>
      <c r="I60" s="23">
        <f t="shared" si="1"/>
        <v>848214.28571428568</v>
      </c>
      <c r="J60" s="18" t="s">
        <v>43</v>
      </c>
      <c r="K60" s="18" t="s">
        <v>41</v>
      </c>
      <c r="L60" s="6"/>
      <c r="M60" s="6"/>
      <c r="N60" s="6"/>
      <c r="O60" s="6"/>
      <c r="P60" s="6"/>
      <c r="Q60" s="6"/>
      <c r="R60" s="6"/>
      <c r="S60" s="6"/>
      <c r="T60" s="6"/>
      <c r="U60"/>
      <c r="V60"/>
      <c r="W60"/>
      <c r="X60"/>
    </row>
    <row r="61" spans="1:24" ht="33.75" x14ac:dyDescent="0.2">
      <c r="A61" s="18">
        <v>52</v>
      </c>
      <c r="B61" s="7" t="s">
        <v>238</v>
      </c>
      <c r="C61" s="5" t="s">
        <v>909</v>
      </c>
      <c r="D61" s="13">
        <v>142</v>
      </c>
      <c r="E61" s="7" t="s">
        <v>238</v>
      </c>
      <c r="F61" s="18" t="s">
        <v>677</v>
      </c>
      <c r="G61" s="42">
        <v>10000</v>
      </c>
      <c r="H61" s="24">
        <f>98/1.12</f>
        <v>87.499999999999986</v>
      </c>
      <c r="I61" s="23">
        <f t="shared" si="1"/>
        <v>874999.99999999988</v>
      </c>
      <c r="J61" s="18" t="s">
        <v>43</v>
      </c>
      <c r="K61" s="18" t="s">
        <v>41</v>
      </c>
      <c r="L61" s="6"/>
      <c r="M61" s="6"/>
      <c r="N61" s="6"/>
      <c r="O61" s="6"/>
      <c r="P61" s="6"/>
      <c r="Q61" s="6"/>
      <c r="R61" s="6"/>
      <c r="S61" s="6"/>
      <c r="T61" s="6"/>
      <c r="U61"/>
      <c r="V61"/>
      <c r="W61"/>
      <c r="X61"/>
    </row>
    <row r="62" spans="1:24" ht="33.75" x14ac:dyDescent="0.2">
      <c r="A62" s="18">
        <v>53</v>
      </c>
      <c r="B62" s="7" t="s">
        <v>239</v>
      </c>
      <c r="C62" s="5" t="s">
        <v>909</v>
      </c>
      <c r="D62" s="13">
        <v>142</v>
      </c>
      <c r="E62" s="7" t="s">
        <v>239</v>
      </c>
      <c r="F62" s="18" t="s">
        <v>677</v>
      </c>
      <c r="G62" s="42">
        <v>3500</v>
      </c>
      <c r="H62" s="24">
        <f>85/1.12</f>
        <v>75.892857142857139</v>
      </c>
      <c r="I62" s="23">
        <f t="shared" si="1"/>
        <v>265625</v>
      </c>
      <c r="J62" s="18" t="s">
        <v>43</v>
      </c>
      <c r="K62" s="18" t="s">
        <v>41</v>
      </c>
      <c r="L62" s="6"/>
      <c r="M62" s="6"/>
      <c r="N62" s="6"/>
      <c r="O62" s="6"/>
      <c r="P62" s="6"/>
      <c r="Q62" s="6"/>
      <c r="R62" s="6"/>
      <c r="S62" s="6"/>
      <c r="T62" s="6"/>
      <c r="U62"/>
      <c r="V62"/>
      <c r="W62"/>
      <c r="X62"/>
    </row>
    <row r="63" spans="1:24" ht="33.75" x14ac:dyDescent="0.2">
      <c r="A63" s="18">
        <v>54</v>
      </c>
      <c r="B63" s="7" t="s">
        <v>240</v>
      </c>
      <c r="C63" s="5" t="s">
        <v>909</v>
      </c>
      <c r="D63" s="13">
        <v>142</v>
      </c>
      <c r="E63" s="7" t="s">
        <v>240</v>
      </c>
      <c r="F63" s="18" t="s">
        <v>677</v>
      </c>
      <c r="G63" s="42">
        <v>10000</v>
      </c>
      <c r="H63" s="24">
        <f>85/1.12</f>
        <v>75.892857142857139</v>
      </c>
      <c r="I63" s="23">
        <f t="shared" si="1"/>
        <v>758928.57142857136</v>
      </c>
      <c r="J63" s="18" t="s">
        <v>43</v>
      </c>
      <c r="K63" s="18" t="s">
        <v>41</v>
      </c>
      <c r="L63" s="6"/>
      <c r="M63" s="6"/>
      <c r="N63" s="6"/>
      <c r="O63" s="6"/>
      <c r="P63" s="6"/>
      <c r="Q63" s="6"/>
      <c r="R63" s="6"/>
      <c r="S63" s="6"/>
      <c r="T63" s="6"/>
      <c r="U63"/>
      <c r="V63"/>
      <c r="W63"/>
      <c r="X63"/>
    </row>
    <row r="64" spans="1:24" ht="33.75" x14ac:dyDescent="0.2">
      <c r="A64" s="18">
        <v>55</v>
      </c>
      <c r="B64" s="7" t="s">
        <v>241</v>
      </c>
      <c r="C64" s="5" t="s">
        <v>909</v>
      </c>
      <c r="D64" s="13">
        <v>142</v>
      </c>
      <c r="E64" s="7" t="s">
        <v>241</v>
      </c>
      <c r="F64" s="18" t="s">
        <v>677</v>
      </c>
      <c r="G64" s="42">
        <v>7000</v>
      </c>
      <c r="H64" s="24">
        <f>85/1.12</f>
        <v>75.892857142857139</v>
      </c>
      <c r="I64" s="23">
        <f t="shared" si="1"/>
        <v>531250</v>
      </c>
      <c r="J64" s="18" t="s">
        <v>43</v>
      </c>
      <c r="K64" s="18" t="s">
        <v>41</v>
      </c>
      <c r="L64" s="6"/>
      <c r="M64" s="6"/>
      <c r="N64" s="6"/>
      <c r="O64" s="6"/>
      <c r="P64" s="6"/>
      <c r="Q64" s="6"/>
      <c r="R64" s="6"/>
      <c r="S64" s="6"/>
      <c r="T64" s="6"/>
      <c r="U64"/>
      <c r="V64"/>
      <c r="W64"/>
      <c r="X64"/>
    </row>
    <row r="65" spans="1:24" ht="33.75" x14ac:dyDescent="0.2">
      <c r="A65" s="18">
        <v>56</v>
      </c>
      <c r="B65" s="7" t="s">
        <v>242</v>
      </c>
      <c r="C65" s="5" t="s">
        <v>909</v>
      </c>
      <c r="D65" s="13">
        <v>142</v>
      </c>
      <c r="E65" s="7" t="s">
        <v>242</v>
      </c>
      <c r="F65" s="18" t="s">
        <v>677</v>
      </c>
      <c r="G65" s="42">
        <v>10</v>
      </c>
      <c r="H65" s="24">
        <f>7000/1.12</f>
        <v>6249.9999999999991</v>
      </c>
      <c r="I65" s="23">
        <f t="shared" si="1"/>
        <v>62499.999999999993</v>
      </c>
      <c r="J65" s="18" t="s">
        <v>43</v>
      </c>
      <c r="K65" s="18" t="s">
        <v>41</v>
      </c>
      <c r="L65" s="6"/>
      <c r="M65" s="6"/>
      <c r="N65" s="6"/>
      <c r="O65" s="6"/>
      <c r="P65" s="6"/>
      <c r="Q65" s="6"/>
      <c r="R65" s="6"/>
      <c r="S65" s="6"/>
      <c r="T65" s="6"/>
      <c r="U65"/>
      <c r="V65"/>
      <c r="W65"/>
      <c r="X65"/>
    </row>
    <row r="66" spans="1:24" ht="33.75" x14ac:dyDescent="0.2">
      <c r="A66" s="18">
        <v>57</v>
      </c>
      <c r="B66" s="7" t="s">
        <v>243</v>
      </c>
      <c r="C66" s="5" t="s">
        <v>909</v>
      </c>
      <c r="D66" s="13">
        <v>142</v>
      </c>
      <c r="E66" s="7" t="s">
        <v>243</v>
      </c>
      <c r="F66" s="18" t="s">
        <v>677</v>
      </c>
      <c r="G66" s="42">
        <v>1</v>
      </c>
      <c r="H66" s="24">
        <f>3500/1.12</f>
        <v>3124.9999999999995</v>
      </c>
      <c r="I66" s="23">
        <f t="shared" si="1"/>
        <v>3124.9999999999995</v>
      </c>
      <c r="J66" s="18" t="s">
        <v>43</v>
      </c>
      <c r="K66" s="18" t="s">
        <v>41</v>
      </c>
      <c r="L66" s="6"/>
      <c r="M66" s="6"/>
      <c r="N66" s="6"/>
      <c r="O66" s="6"/>
      <c r="P66" s="6"/>
      <c r="Q66" s="6"/>
      <c r="R66" s="6"/>
      <c r="S66" s="6"/>
      <c r="T66" s="6"/>
      <c r="U66"/>
      <c r="V66"/>
      <c r="W66"/>
      <c r="X66"/>
    </row>
    <row r="67" spans="1:24" ht="33.75" x14ac:dyDescent="0.2">
      <c r="A67" s="18">
        <v>58</v>
      </c>
      <c r="B67" s="7" t="s">
        <v>244</v>
      </c>
      <c r="C67" s="5" t="s">
        <v>909</v>
      </c>
      <c r="D67" s="13">
        <v>142</v>
      </c>
      <c r="E67" s="7" t="s">
        <v>244</v>
      </c>
      <c r="F67" s="18" t="s">
        <v>677</v>
      </c>
      <c r="G67" s="42">
        <v>4</v>
      </c>
      <c r="H67" s="24">
        <f>6000/1.12</f>
        <v>5357.1428571428569</v>
      </c>
      <c r="I67" s="23">
        <f t="shared" si="1"/>
        <v>21428.571428571428</v>
      </c>
      <c r="J67" s="18" t="s">
        <v>43</v>
      </c>
      <c r="K67" s="18" t="s">
        <v>41</v>
      </c>
      <c r="L67" s="6"/>
      <c r="M67" s="6"/>
      <c r="N67" s="6"/>
      <c r="O67" s="6"/>
      <c r="P67" s="6"/>
      <c r="Q67" s="6"/>
      <c r="R67" s="6"/>
      <c r="S67" s="6"/>
      <c r="T67" s="6"/>
      <c r="U67"/>
      <c r="V67"/>
      <c r="W67"/>
      <c r="X67"/>
    </row>
    <row r="68" spans="1:24" ht="33.75" x14ac:dyDescent="0.2">
      <c r="A68" s="18">
        <v>59</v>
      </c>
      <c r="B68" s="7" t="s">
        <v>245</v>
      </c>
      <c r="C68" s="5" t="s">
        <v>909</v>
      </c>
      <c r="D68" s="13">
        <v>142</v>
      </c>
      <c r="E68" s="7" t="s">
        <v>245</v>
      </c>
      <c r="F68" s="18" t="s">
        <v>677</v>
      </c>
      <c r="G68" s="42">
        <v>2</v>
      </c>
      <c r="H68" s="24">
        <f>2500/1.12</f>
        <v>2232.1428571428569</v>
      </c>
      <c r="I68" s="23">
        <f t="shared" si="1"/>
        <v>4464.2857142857138</v>
      </c>
      <c r="J68" s="18" t="s">
        <v>43</v>
      </c>
      <c r="K68" s="18" t="s">
        <v>41</v>
      </c>
      <c r="L68" s="6"/>
      <c r="M68" s="6"/>
      <c r="N68" s="6"/>
      <c r="O68" s="6"/>
      <c r="P68" s="6"/>
      <c r="Q68" s="6"/>
      <c r="R68" s="6"/>
      <c r="S68" s="6"/>
      <c r="T68" s="6"/>
      <c r="U68"/>
      <c r="V68"/>
      <c r="W68"/>
      <c r="X68"/>
    </row>
    <row r="69" spans="1:24" ht="33.75" x14ac:dyDescent="0.2">
      <c r="A69" s="18">
        <v>60</v>
      </c>
      <c r="B69" s="7" t="s">
        <v>246</v>
      </c>
      <c r="C69" s="5" t="s">
        <v>909</v>
      </c>
      <c r="D69" s="13">
        <v>142</v>
      </c>
      <c r="E69" s="7" t="s">
        <v>246</v>
      </c>
      <c r="F69" s="18" t="s">
        <v>677</v>
      </c>
      <c r="G69" s="42">
        <v>2</v>
      </c>
      <c r="H69" s="24">
        <f>2500/1.12</f>
        <v>2232.1428571428569</v>
      </c>
      <c r="I69" s="23">
        <f t="shared" si="1"/>
        <v>4464.2857142857138</v>
      </c>
      <c r="J69" s="18" t="s">
        <v>43</v>
      </c>
      <c r="K69" s="18" t="s">
        <v>41</v>
      </c>
      <c r="L69" s="6"/>
      <c r="M69" s="6"/>
      <c r="N69" s="6"/>
      <c r="O69" s="6"/>
      <c r="P69" s="6"/>
      <c r="Q69" s="6"/>
      <c r="R69" s="6"/>
      <c r="S69" s="6"/>
      <c r="T69" s="6"/>
      <c r="U69"/>
      <c r="V69"/>
      <c r="W69"/>
      <c r="X69"/>
    </row>
    <row r="70" spans="1:24" ht="33.75" x14ac:dyDescent="0.2">
      <c r="A70" s="18">
        <v>61</v>
      </c>
      <c r="B70" s="7" t="s">
        <v>247</v>
      </c>
      <c r="C70" s="5" t="s">
        <v>909</v>
      </c>
      <c r="D70" s="13">
        <v>142</v>
      </c>
      <c r="E70" s="7" t="s">
        <v>247</v>
      </c>
      <c r="F70" s="18" t="s">
        <v>677</v>
      </c>
      <c r="G70" s="42">
        <v>4</v>
      </c>
      <c r="H70" s="24">
        <f>500/1.12</f>
        <v>446.42857142857139</v>
      </c>
      <c r="I70" s="23">
        <f t="shared" si="1"/>
        <v>1785.7142857142856</v>
      </c>
      <c r="J70" s="18" t="s">
        <v>43</v>
      </c>
      <c r="K70" s="18" t="s">
        <v>41</v>
      </c>
      <c r="L70" s="6"/>
      <c r="M70" s="6"/>
      <c r="N70" s="6"/>
      <c r="O70" s="6"/>
      <c r="P70" s="6"/>
      <c r="Q70" s="6"/>
      <c r="R70" s="6"/>
      <c r="S70" s="6"/>
      <c r="T70" s="6"/>
      <c r="U70"/>
      <c r="V70"/>
      <c r="W70"/>
      <c r="X70"/>
    </row>
    <row r="71" spans="1:24" ht="33.75" x14ac:dyDescent="0.2">
      <c r="A71" s="18">
        <v>62</v>
      </c>
      <c r="B71" s="7" t="s">
        <v>248</v>
      </c>
      <c r="C71" s="5" t="s">
        <v>909</v>
      </c>
      <c r="D71" s="13">
        <v>142</v>
      </c>
      <c r="E71" s="7" t="s">
        <v>248</v>
      </c>
      <c r="F71" s="18" t="s">
        <v>677</v>
      </c>
      <c r="G71" s="42">
        <v>2</v>
      </c>
      <c r="H71" s="24">
        <f>1500/1.12</f>
        <v>1339.2857142857142</v>
      </c>
      <c r="I71" s="23">
        <f t="shared" si="1"/>
        <v>2678.5714285714284</v>
      </c>
      <c r="J71" s="18" t="s">
        <v>43</v>
      </c>
      <c r="K71" s="18" t="s">
        <v>41</v>
      </c>
      <c r="L71" s="6"/>
      <c r="M71" s="6"/>
      <c r="N71" s="6"/>
      <c r="O71" s="6"/>
      <c r="P71" s="6"/>
      <c r="Q71" s="6"/>
      <c r="R71" s="6"/>
      <c r="S71" s="6"/>
      <c r="T71" s="6"/>
      <c r="U71"/>
      <c r="V71"/>
      <c r="W71"/>
      <c r="X71"/>
    </row>
    <row r="72" spans="1:24" ht="33.75" x14ac:dyDescent="0.2">
      <c r="A72" s="18">
        <v>63</v>
      </c>
      <c r="B72" s="7" t="s">
        <v>249</v>
      </c>
      <c r="C72" s="5" t="s">
        <v>909</v>
      </c>
      <c r="D72" s="13">
        <v>142</v>
      </c>
      <c r="E72" s="7" t="s">
        <v>249</v>
      </c>
      <c r="F72" s="18" t="s">
        <v>677</v>
      </c>
      <c r="G72" s="42">
        <v>2</v>
      </c>
      <c r="H72" s="24">
        <f>30000/1.12</f>
        <v>26785.714285714283</v>
      </c>
      <c r="I72" s="23">
        <f t="shared" si="1"/>
        <v>53571.428571428565</v>
      </c>
      <c r="J72" s="18" t="s">
        <v>43</v>
      </c>
      <c r="K72" s="18" t="s">
        <v>41</v>
      </c>
      <c r="L72" s="6"/>
      <c r="M72" s="6"/>
      <c r="N72" s="6"/>
      <c r="O72" s="6"/>
      <c r="P72" s="6"/>
      <c r="Q72" s="6"/>
      <c r="R72" s="6"/>
      <c r="S72" s="6"/>
      <c r="T72" s="6"/>
      <c r="U72"/>
      <c r="V72"/>
      <c r="W72"/>
      <c r="X72"/>
    </row>
    <row r="73" spans="1:24" ht="33.75" x14ac:dyDescent="0.2">
      <c r="A73" s="18">
        <v>64</v>
      </c>
      <c r="B73" s="7" t="s">
        <v>250</v>
      </c>
      <c r="C73" s="5" t="s">
        <v>909</v>
      </c>
      <c r="D73" s="13">
        <v>142</v>
      </c>
      <c r="E73" s="7" t="s">
        <v>250</v>
      </c>
      <c r="F73" s="18" t="s">
        <v>677</v>
      </c>
      <c r="G73" s="42">
        <v>2</v>
      </c>
      <c r="H73" s="24">
        <f>40000/1.12</f>
        <v>35714.28571428571</v>
      </c>
      <c r="I73" s="23">
        <f t="shared" si="1"/>
        <v>71428.57142857142</v>
      </c>
      <c r="J73" s="18" t="s">
        <v>43</v>
      </c>
      <c r="K73" s="18" t="s">
        <v>41</v>
      </c>
      <c r="L73" s="6"/>
      <c r="M73" s="6"/>
      <c r="N73" s="6"/>
      <c r="O73" s="6"/>
      <c r="P73" s="6"/>
      <c r="Q73" s="6"/>
      <c r="R73" s="6"/>
      <c r="S73" s="6"/>
      <c r="T73" s="6"/>
      <c r="U73"/>
      <c r="V73"/>
      <c r="W73"/>
      <c r="X73"/>
    </row>
    <row r="74" spans="1:24" ht="33.75" x14ac:dyDescent="0.2">
      <c r="A74" s="18">
        <v>65</v>
      </c>
      <c r="B74" s="7" t="s">
        <v>251</v>
      </c>
      <c r="C74" s="5" t="s">
        <v>909</v>
      </c>
      <c r="D74" s="13">
        <v>142</v>
      </c>
      <c r="E74" s="7" t="s">
        <v>251</v>
      </c>
      <c r="F74" s="18" t="s">
        <v>677</v>
      </c>
      <c r="G74" s="42">
        <v>2</v>
      </c>
      <c r="H74" s="24">
        <f>59000/1.12</f>
        <v>52678.57142857142</v>
      </c>
      <c r="I74" s="23">
        <f t="shared" si="1"/>
        <v>105357.14285714284</v>
      </c>
      <c r="J74" s="18" t="s">
        <v>43</v>
      </c>
      <c r="K74" s="18" t="s">
        <v>41</v>
      </c>
      <c r="L74" s="6"/>
      <c r="M74" s="6"/>
      <c r="N74" s="6"/>
      <c r="O74" s="6"/>
      <c r="P74" s="6"/>
      <c r="Q74" s="6"/>
      <c r="R74" s="6"/>
      <c r="S74" s="6"/>
      <c r="T74" s="6"/>
      <c r="U74"/>
      <c r="V74"/>
      <c r="W74"/>
      <c r="X74"/>
    </row>
    <row r="75" spans="1:24" ht="33.75" x14ac:dyDescent="0.2">
      <c r="A75" s="18">
        <v>66</v>
      </c>
      <c r="B75" s="7" t="s">
        <v>252</v>
      </c>
      <c r="C75" s="5" t="s">
        <v>909</v>
      </c>
      <c r="D75" s="13">
        <v>142</v>
      </c>
      <c r="E75" s="7" t="s">
        <v>252</v>
      </c>
      <c r="F75" s="18" t="s">
        <v>677</v>
      </c>
      <c r="G75" s="42">
        <v>2</v>
      </c>
      <c r="H75" s="24">
        <f>61000/1.12</f>
        <v>54464.28571428571</v>
      </c>
      <c r="I75" s="23">
        <f t="shared" si="1"/>
        <v>108928.57142857142</v>
      </c>
      <c r="J75" s="18" t="s">
        <v>43</v>
      </c>
      <c r="K75" s="18" t="s">
        <v>41</v>
      </c>
      <c r="L75" s="6"/>
      <c r="M75" s="6"/>
      <c r="N75" s="6"/>
      <c r="O75" s="6"/>
      <c r="P75" s="6"/>
      <c r="Q75" s="6"/>
      <c r="R75" s="6"/>
      <c r="S75" s="6"/>
      <c r="T75" s="6"/>
      <c r="U75"/>
      <c r="V75"/>
      <c r="W75"/>
      <c r="X75"/>
    </row>
    <row r="76" spans="1:24" ht="33.75" x14ac:dyDescent="0.2">
      <c r="A76" s="18">
        <v>67</v>
      </c>
      <c r="B76" s="7" t="s">
        <v>253</v>
      </c>
      <c r="C76" s="5" t="s">
        <v>909</v>
      </c>
      <c r="D76" s="13">
        <v>142</v>
      </c>
      <c r="E76" s="7" t="s">
        <v>253</v>
      </c>
      <c r="F76" s="18" t="s">
        <v>677</v>
      </c>
      <c r="G76" s="42">
        <v>20</v>
      </c>
      <c r="H76" s="24">
        <f>2500/1.12</f>
        <v>2232.1428571428569</v>
      </c>
      <c r="I76" s="23">
        <f t="shared" si="1"/>
        <v>44642.857142857138</v>
      </c>
      <c r="J76" s="18" t="s">
        <v>43</v>
      </c>
      <c r="K76" s="18" t="s">
        <v>41</v>
      </c>
      <c r="L76" s="6"/>
      <c r="M76" s="6"/>
      <c r="N76" s="6"/>
      <c r="O76" s="6"/>
      <c r="P76" s="6"/>
      <c r="Q76" s="6"/>
      <c r="R76" s="6"/>
      <c r="S76" s="6"/>
      <c r="T76" s="6"/>
      <c r="U76"/>
      <c r="V76"/>
      <c r="W76"/>
      <c r="X76"/>
    </row>
    <row r="77" spans="1:24" ht="33.75" x14ac:dyDescent="0.2">
      <c r="A77" s="18">
        <v>68</v>
      </c>
      <c r="B77" s="7" t="s">
        <v>254</v>
      </c>
      <c r="C77" s="5" t="s">
        <v>909</v>
      </c>
      <c r="D77" s="13">
        <v>142</v>
      </c>
      <c r="E77" s="7" t="s">
        <v>254</v>
      </c>
      <c r="F77" s="18" t="s">
        <v>677</v>
      </c>
      <c r="G77" s="42">
        <v>10</v>
      </c>
      <c r="H77" s="24">
        <f>1485/1.12</f>
        <v>1325.8928571428571</v>
      </c>
      <c r="I77" s="23">
        <f t="shared" si="1"/>
        <v>13258.928571428571</v>
      </c>
      <c r="J77" s="18" t="s">
        <v>43</v>
      </c>
      <c r="K77" s="18" t="s">
        <v>41</v>
      </c>
      <c r="L77" s="6"/>
      <c r="M77" s="6"/>
      <c r="N77" s="6"/>
      <c r="O77" s="6"/>
      <c r="P77" s="6"/>
      <c r="Q77" s="6"/>
      <c r="R77" s="6"/>
      <c r="S77" s="6"/>
      <c r="T77" s="6"/>
      <c r="U77"/>
      <c r="V77"/>
      <c r="W77"/>
      <c r="X77"/>
    </row>
    <row r="78" spans="1:24" ht="33.75" x14ac:dyDescent="0.2">
      <c r="A78" s="18">
        <v>69</v>
      </c>
      <c r="B78" s="7" t="s">
        <v>255</v>
      </c>
      <c r="C78" s="5" t="s">
        <v>909</v>
      </c>
      <c r="D78" s="13">
        <v>142</v>
      </c>
      <c r="E78" s="7" t="s">
        <v>255</v>
      </c>
      <c r="F78" s="18" t="s">
        <v>48</v>
      </c>
      <c r="G78" s="42">
        <v>50</v>
      </c>
      <c r="H78" s="24">
        <f>9500/1.12</f>
        <v>8482.1428571428569</v>
      </c>
      <c r="I78" s="23">
        <f t="shared" si="1"/>
        <v>424107.14285714284</v>
      </c>
      <c r="J78" s="18" t="s">
        <v>43</v>
      </c>
      <c r="K78" s="18" t="s">
        <v>41</v>
      </c>
      <c r="L78" s="6"/>
      <c r="M78" s="6"/>
      <c r="N78" s="6"/>
      <c r="O78" s="6"/>
      <c r="P78" s="6"/>
      <c r="Q78" s="6"/>
      <c r="R78" s="6"/>
      <c r="S78" s="6"/>
      <c r="T78" s="6"/>
      <c r="U78"/>
      <c r="V78"/>
      <c r="W78"/>
      <c r="X78"/>
    </row>
    <row r="79" spans="1:24" ht="33.75" x14ac:dyDescent="0.2">
      <c r="A79" s="18">
        <v>70</v>
      </c>
      <c r="B79" s="7" t="s">
        <v>256</v>
      </c>
      <c r="C79" s="5" t="s">
        <v>909</v>
      </c>
      <c r="D79" s="13">
        <v>142</v>
      </c>
      <c r="E79" s="7" t="s">
        <v>256</v>
      </c>
      <c r="F79" s="18" t="s">
        <v>48</v>
      </c>
      <c r="G79" s="42">
        <v>50</v>
      </c>
      <c r="H79" s="24">
        <f>15500/1.12</f>
        <v>13839.285714285714</v>
      </c>
      <c r="I79" s="23">
        <f t="shared" ref="I79:I142" si="2">G79*H79</f>
        <v>691964.28571428568</v>
      </c>
      <c r="J79" s="18" t="s">
        <v>43</v>
      </c>
      <c r="K79" s="18" t="s">
        <v>41</v>
      </c>
      <c r="L79" s="6"/>
      <c r="M79" s="6"/>
      <c r="N79" s="6"/>
      <c r="O79" s="6"/>
      <c r="P79" s="6"/>
      <c r="Q79" s="6"/>
      <c r="R79" s="6"/>
      <c r="S79" s="6"/>
      <c r="T79" s="6"/>
      <c r="U79"/>
      <c r="V79"/>
      <c r="W79"/>
      <c r="X79"/>
    </row>
    <row r="80" spans="1:24" ht="33.75" x14ac:dyDescent="0.2">
      <c r="A80" s="18">
        <v>71</v>
      </c>
      <c r="B80" s="7" t="s">
        <v>257</v>
      </c>
      <c r="C80" s="5" t="s">
        <v>909</v>
      </c>
      <c r="D80" s="13">
        <v>142</v>
      </c>
      <c r="E80" s="7" t="s">
        <v>257</v>
      </c>
      <c r="F80" s="18" t="s">
        <v>48</v>
      </c>
      <c r="G80" s="42">
        <v>45</v>
      </c>
      <c r="H80" s="24">
        <f>25500/1.12</f>
        <v>22767.857142857141</v>
      </c>
      <c r="I80" s="23">
        <f t="shared" si="2"/>
        <v>1024553.5714285714</v>
      </c>
      <c r="J80" s="18" t="s">
        <v>43</v>
      </c>
      <c r="K80" s="18" t="s">
        <v>41</v>
      </c>
      <c r="L80" s="6"/>
      <c r="M80" s="6"/>
      <c r="N80" s="6"/>
      <c r="O80" s="6"/>
      <c r="P80" s="6"/>
      <c r="Q80" s="6"/>
      <c r="R80" s="6"/>
      <c r="S80" s="6"/>
      <c r="T80" s="6"/>
      <c r="U80"/>
      <c r="V80"/>
      <c r="W80"/>
      <c r="X80"/>
    </row>
    <row r="81" spans="1:24" ht="33.75" x14ac:dyDescent="0.2">
      <c r="A81" s="18">
        <v>72</v>
      </c>
      <c r="B81" s="7" t="s">
        <v>258</v>
      </c>
      <c r="C81" s="5" t="s">
        <v>909</v>
      </c>
      <c r="D81" s="13">
        <v>142</v>
      </c>
      <c r="E81" s="7" t="s">
        <v>258</v>
      </c>
      <c r="F81" s="18" t="s">
        <v>48</v>
      </c>
      <c r="G81" s="42">
        <v>50</v>
      </c>
      <c r="H81" s="24">
        <f>26000/1.12</f>
        <v>23214.285714285714</v>
      </c>
      <c r="I81" s="23">
        <f t="shared" si="2"/>
        <v>1160714.2857142857</v>
      </c>
      <c r="J81" s="18" t="s">
        <v>43</v>
      </c>
      <c r="K81" s="18" t="s">
        <v>41</v>
      </c>
      <c r="L81" s="6"/>
      <c r="M81" s="6"/>
      <c r="N81" s="6"/>
      <c r="O81" s="6"/>
      <c r="P81" s="6"/>
      <c r="Q81" s="6"/>
      <c r="R81" s="6"/>
      <c r="S81" s="6"/>
      <c r="T81" s="6"/>
      <c r="U81"/>
      <c r="V81"/>
      <c r="W81"/>
      <c r="X81"/>
    </row>
    <row r="82" spans="1:24" ht="33.75" x14ac:dyDescent="0.2">
      <c r="A82" s="18">
        <v>73</v>
      </c>
      <c r="B82" s="7" t="s">
        <v>259</v>
      </c>
      <c r="C82" s="5" t="s">
        <v>909</v>
      </c>
      <c r="D82" s="13">
        <v>142</v>
      </c>
      <c r="E82" s="7" t="s">
        <v>259</v>
      </c>
      <c r="F82" s="18" t="s">
        <v>48</v>
      </c>
      <c r="G82" s="42">
        <v>15</v>
      </c>
      <c r="H82" s="24">
        <f>80000/1.12</f>
        <v>71428.57142857142</v>
      </c>
      <c r="I82" s="23">
        <f t="shared" si="2"/>
        <v>1071428.5714285714</v>
      </c>
      <c r="J82" s="18" t="s">
        <v>43</v>
      </c>
      <c r="K82" s="18" t="s">
        <v>41</v>
      </c>
      <c r="L82" s="6"/>
      <c r="M82" s="6"/>
      <c r="N82" s="6"/>
      <c r="O82" s="6"/>
      <c r="P82" s="6"/>
      <c r="Q82" s="6"/>
      <c r="R82" s="6"/>
      <c r="S82" s="6"/>
      <c r="T82" s="6"/>
      <c r="U82"/>
      <c r="V82"/>
      <c r="W82"/>
      <c r="X82"/>
    </row>
    <row r="83" spans="1:24" ht="33.75" x14ac:dyDescent="0.2">
      <c r="A83" s="18">
        <v>74</v>
      </c>
      <c r="B83" s="7" t="s">
        <v>260</v>
      </c>
      <c r="C83" s="5" t="s">
        <v>909</v>
      </c>
      <c r="D83" s="13">
        <v>142</v>
      </c>
      <c r="E83" s="7" t="s">
        <v>260</v>
      </c>
      <c r="F83" s="18" t="s">
        <v>51</v>
      </c>
      <c r="G83" s="42">
        <v>40</v>
      </c>
      <c r="H83" s="24">
        <f>15000/1.12</f>
        <v>13392.857142857141</v>
      </c>
      <c r="I83" s="23">
        <f t="shared" si="2"/>
        <v>535714.28571428568</v>
      </c>
      <c r="J83" s="18" t="s">
        <v>43</v>
      </c>
      <c r="K83" s="18" t="s">
        <v>41</v>
      </c>
      <c r="L83" s="6"/>
      <c r="M83" s="6"/>
      <c r="N83" s="6"/>
      <c r="O83" s="6"/>
      <c r="P83" s="6"/>
      <c r="Q83" s="6"/>
      <c r="R83" s="6"/>
      <c r="S83" s="6"/>
      <c r="T83" s="6"/>
      <c r="U83"/>
      <c r="V83"/>
      <c r="W83"/>
      <c r="X83"/>
    </row>
    <row r="84" spans="1:24" ht="33.75" x14ac:dyDescent="0.2">
      <c r="A84" s="18">
        <v>75</v>
      </c>
      <c r="B84" s="7" t="s">
        <v>261</v>
      </c>
      <c r="C84" s="5" t="s">
        <v>909</v>
      </c>
      <c r="D84" s="13">
        <v>142</v>
      </c>
      <c r="E84" s="7" t="s">
        <v>261</v>
      </c>
      <c r="F84" s="18" t="s">
        <v>51</v>
      </c>
      <c r="G84" s="42">
        <v>40</v>
      </c>
      <c r="H84" s="24">
        <f>6700/1.12</f>
        <v>5982.1428571428569</v>
      </c>
      <c r="I84" s="23">
        <f t="shared" si="2"/>
        <v>239285.71428571426</v>
      </c>
      <c r="J84" s="18" t="s">
        <v>43</v>
      </c>
      <c r="K84" s="18" t="s">
        <v>41</v>
      </c>
      <c r="L84" s="6"/>
      <c r="M84" s="6"/>
      <c r="N84" s="6"/>
      <c r="O84" s="6"/>
      <c r="P84" s="6"/>
      <c r="Q84" s="6"/>
      <c r="R84" s="6"/>
      <c r="S84" s="6"/>
      <c r="T84" s="6"/>
      <c r="U84"/>
      <c r="V84"/>
      <c r="W84"/>
      <c r="X84"/>
    </row>
    <row r="85" spans="1:24" ht="33.75" x14ac:dyDescent="0.2">
      <c r="A85" s="18">
        <v>76</v>
      </c>
      <c r="B85" s="7" t="s">
        <v>262</v>
      </c>
      <c r="C85" s="5" t="s">
        <v>909</v>
      </c>
      <c r="D85" s="13">
        <v>142</v>
      </c>
      <c r="E85" s="7" t="s">
        <v>262</v>
      </c>
      <c r="F85" s="18" t="s">
        <v>48</v>
      </c>
      <c r="G85" s="42">
        <v>1000</v>
      </c>
      <c r="H85" s="24">
        <f>19000/1.12</f>
        <v>16964.285714285714</v>
      </c>
      <c r="I85" s="23">
        <f t="shared" si="2"/>
        <v>16964285.714285713</v>
      </c>
      <c r="J85" s="18" t="s">
        <v>43</v>
      </c>
      <c r="K85" s="18" t="s">
        <v>41</v>
      </c>
      <c r="L85" s="6"/>
      <c r="M85" s="6"/>
      <c r="N85" s="6"/>
      <c r="O85" s="6"/>
      <c r="P85" s="6"/>
      <c r="Q85" s="6"/>
      <c r="R85" s="6"/>
      <c r="S85" s="6"/>
      <c r="T85" s="6"/>
      <c r="U85"/>
      <c r="V85"/>
      <c r="W85"/>
      <c r="X85"/>
    </row>
    <row r="86" spans="1:24" ht="33.75" x14ac:dyDescent="0.2">
      <c r="A86" s="18">
        <v>77</v>
      </c>
      <c r="B86" s="7" t="s">
        <v>263</v>
      </c>
      <c r="C86" s="5" t="s">
        <v>909</v>
      </c>
      <c r="D86" s="13">
        <v>142</v>
      </c>
      <c r="E86" s="7" t="s">
        <v>263</v>
      </c>
      <c r="F86" s="18" t="s">
        <v>48</v>
      </c>
      <c r="G86" s="42">
        <v>120</v>
      </c>
      <c r="H86" s="24">
        <f>5600/1.12</f>
        <v>4999.9999999999991</v>
      </c>
      <c r="I86" s="23">
        <f t="shared" si="2"/>
        <v>599999.99999999988</v>
      </c>
      <c r="J86" s="18" t="s">
        <v>43</v>
      </c>
      <c r="K86" s="18" t="s">
        <v>41</v>
      </c>
      <c r="L86" s="6"/>
      <c r="M86" s="6"/>
      <c r="N86" s="6"/>
      <c r="O86" s="6"/>
      <c r="P86" s="6"/>
      <c r="Q86" s="6"/>
      <c r="R86" s="6"/>
      <c r="S86" s="6"/>
      <c r="T86" s="6"/>
      <c r="U86"/>
      <c r="V86"/>
      <c r="W86"/>
      <c r="X86"/>
    </row>
    <row r="87" spans="1:24" ht="33.75" x14ac:dyDescent="0.2">
      <c r="A87" s="18">
        <v>78</v>
      </c>
      <c r="B87" s="7" t="s">
        <v>264</v>
      </c>
      <c r="C87" s="5" t="s">
        <v>909</v>
      </c>
      <c r="D87" s="13">
        <v>142</v>
      </c>
      <c r="E87" s="7" t="s">
        <v>264</v>
      </c>
      <c r="F87" s="18" t="s">
        <v>48</v>
      </c>
      <c r="G87" s="42">
        <v>100</v>
      </c>
      <c r="H87" s="24">
        <f>5600/1.12</f>
        <v>4999.9999999999991</v>
      </c>
      <c r="I87" s="23">
        <f t="shared" si="2"/>
        <v>499999.99999999988</v>
      </c>
      <c r="J87" s="18" t="s">
        <v>43</v>
      </c>
      <c r="K87" s="18" t="s">
        <v>41</v>
      </c>
      <c r="L87" s="6"/>
      <c r="M87" s="6"/>
      <c r="N87" s="6"/>
      <c r="O87" s="6"/>
      <c r="P87" s="6"/>
      <c r="Q87" s="6"/>
      <c r="R87" s="6"/>
      <c r="S87" s="6"/>
      <c r="T87" s="6"/>
      <c r="U87"/>
      <c r="V87"/>
      <c r="W87"/>
      <c r="X87"/>
    </row>
    <row r="88" spans="1:24" ht="33.75" x14ac:dyDescent="0.2">
      <c r="A88" s="18">
        <v>79</v>
      </c>
      <c r="B88" s="7" t="s">
        <v>265</v>
      </c>
      <c r="C88" s="5" t="s">
        <v>909</v>
      </c>
      <c r="D88" s="13">
        <v>142</v>
      </c>
      <c r="E88" s="7" t="s">
        <v>265</v>
      </c>
      <c r="F88" s="18" t="s">
        <v>677</v>
      </c>
      <c r="G88" s="42">
        <v>2</v>
      </c>
      <c r="H88" s="24">
        <v>7589.28</v>
      </c>
      <c r="I88" s="23">
        <f t="shared" si="2"/>
        <v>15178.56</v>
      </c>
      <c r="J88" s="18" t="s">
        <v>43</v>
      </c>
      <c r="K88" s="18" t="s">
        <v>41</v>
      </c>
      <c r="L88" s="6"/>
      <c r="M88" s="6"/>
      <c r="N88" s="6"/>
      <c r="O88" s="6"/>
      <c r="P88" s="6"/>
      <c r="Q88" s="6"/>
      <c r="R88" s="6"/>
      <c r="S88" s="6"/>
      <c r="T88" s="6"/>
      <c r="U88"/>
      <c r="V88"/>
      <c r="W88"/>
      <c r="X88"/>
    </row>
    <row r="89" spans="1:24" ht="33.75" x14ac:dyDescent="0.2">
      <c r="A89" s="18">
        <v>80</v>
      </c>
      <c r="B89" s="7" t="s">
        <v>266</v>
      </c>
      <c r="C89" s="5" t="s">
        <v>909</v>
      </c>
      <c r="D89" s="13">
        <v>142</v>
      </c>
      <c r="E89" s="7" t="s">
        <v>266</v>
      </c>
      <c r="F89" s="18" t="s">
        <v>677</v>
      </c>
      <c r="G89" s="42">
        <v>1</v>
      </c>
      <c r="H89" s="24">
        <v>6250</v>
      </c>
      <c r="I89" s="23">
        <f t="shared" si="2"/>
        <v>6250</v>
      </c>
      <c r="J89" s="18" t="s">
        <v>43</v>
      </c>
      <c r="K89" s="18" t="s">
        <v>41</v>
      </c>
      <c r="L89" s="6"/>
      <c r="M89" s="6"/>
      <c r="N89" s="6"/>
      <c r="O89" s="6"/>
      <c r="P89" s="6"/>
      <c r="Q89" s="6"/>
      <c r="R89" s="6"/>
      <c r="S89" s="6"/>
      <c r="T89" s="6"/>
      <c r="U89"/>
      <c r="V89"/>
      <c r="W89"/>
      <c r="X89"/>
    </row>
    <row r="90" spans="1:24" ht="33.75" x14ac:dyDescent="0.2">
      <c r="A90" s="18">
        <v>81</v>
      </c>
      <c r="B90" s="7" t="s">
        <v>267</v>
      </c>
      <c r="C90" s="5" t="s">
        <v>909</v>
      </c>
      <c r="D90" s="13">
        <v>142</v>
      </c>
      <c r="E90" s="7" t="s">
        <v>267</v>
      </c>
      <c r="F90" s="18" t="s">
        <v>677</v>
      </c>
      <c r="G90" s="42">
        <v>2</v>
      </c>
      <c r="H90" s="24">
        <v>3500</v>
      </c>
      <c r="I90" s="23">
        <f t="shared" si="2"/>
        <v>7000</v>
      </c>
      <c r="J90" s="18" t="s">
        <v>43</v>
      </c>
      <c r="K90" s="18" t="s">
        <v>41</v>
      </c>
      <c r="L90" s="6"/>
      <c r="M90" s="6"/>
      <c r="N90" s="6"/>
      <c r="O90" s="6"/>
      <c r="P90" s="6"/>
      <c r="Q90" s="6"/>
      <c r="R90" s="6"/>
      <c r="S90" s="6"/>
      <c r="T90" s="6"/>
      <c r="U90"/>
      <c r="V90"/>
      <c r="W90"/>
      <c r="X90"/>
    </row>
    <row r="91" spans="1:24" ht="33.75" x14ac:dyDescent="0.2">
      <c r="A91" s="18">
        <v>82</v>
      </c>
      <c r="B91" s="7" t="s">
        <v>268</v>
      </c>
      <c r="C91" s="5" t="s">
        <v>909</v>
      </c>
      <c r="D91" s="13">
        <v>142</v>
      </c>
      <c r="E91" s="7" t="s">
        <v>268</v>
      </c>
      <c r="F91" s="18" t="s">
        <v>48</v>
      </c>
      <c r="G91" s="42">
        <v>1</v>
      </c>
      <c r="H91" s="24">
        <v>15000</v>
      </c>
      <c r="I91" s="23">
        <f t="shared" si="2"/>
        <v>15000</v>
      </c>
      <c r="J91" s="18" t="s">
        <v>43</v>
      </c>
      <c r="K91" s="18" t="s">
        <v>41</v>
      </c>
      <c r="L91" s="6"/>
      <c r="M91" s="6"/>
      <c r="N91" s="6"/>
      <c r="O91" s="6"/>
      <c r="P91" s="6"/>
      <c r="Q91" s="6"/>
      <c r="R91" s="6"/>
      <c r="S91" s="6"/>
      <c r="T91" s="6"/>
      <c r="U91"/>
      <c r="V91"/>
      <c r="W91"/>
      <c r="X91"/>
    </row>
    <row r="92" spans="1:24" ht="33.75" x14ac:dyDescent="0.2">
      <c r="A92" s="18">
        <v>84</v>
      </c>
      <c r="B92" s="7" t="s">
        <v>708</v>
      </c>
      <c r="C92" s="5" t="s">
        <v>909</v>
      </c>
      <c r="D92" s="13"/>
      <c r="E92" s="7" t="s">
        <v>269</v>
      </c>
      <c r="F92" s="18" t="s">
        <v>677</v>
      </c>
      <c r="G92" s="42">
        <v>1</v>
      </c>
      <c r="H92" s="24">
        <f>1200/1.12</f>
        <v>1071.4285714285713</v>
      </c>
      <c r="I92" s="23">
        <f t="shared" si="2"/>
        <v>1071.4285714285713</v>
      </c>
      <c r="J92" s="18"/>
      <c r="K92" s="18"/>
      <c r="L92" s="6"/>
      <c r="M92" s="6"/>
      <c r="N92" s="6"/>
      <c r="O92" s="6"/>
      <c r="P92" s="6"/>
      <c r="Q92" s="6"/>
      <c r="R92" s="6"/>
      <c r="S92" s="6"/>
      <c r="T92" s="6"/>
      <c r="U92"/>
      <c r="V92"/>
      <c r="W92"/>
      <c r="X92"/>
    </row>
    <row r="93" spans="1:24" ht="33.75" x14ac:dyDescent="0.2">
      <c r="A93" s="18">
        <v>85</v>
      </c>
      <c r="B93" s="7" t="s">
        <v>270</v>
      </c>
      <c r="C93" s="5" t="s">
        <v>909</v>
      </c>
      <c r="D93" s="13">
        <v>142</v>
      </c>
      <c r="E93" s="7" t="s">
        <v>270</v>
      </c>
      <c r="F93" s="18" t="s">
        <v>48</v>
      </c>
      <c r="G93" s="42">
        <v>10</v>
      </c>
      <c r="H93" s="24">
        <f>500/1.12</f>
        <v>446.42857142857139</v>
      </c>
      <c r="I93" s="23">
        <f t="shared" si="2"/>
        <v>4464.2857142857138</v>
      </c>
      <c r="J93" s="18" t="s">
        <v>43</v>
      </c>
      <c r="K93" s="18" t="s">
        <v>41</v>
      </c>
      <c r="L93" s="6"/>
      <c r="M93" s="6"/>
      <c r="N93" s="6"/>
      <c r="O93" s="6"/>
      <c r="P93" s="6"/>
      <c r="Q93" s="6"/>
      <c r="R93" s="6"/>
      <c r="S93" s="6"/>
      <c r="T93" s="6"/>
      <c r="U93"/>
      <c r="V93"/>
      <c r="W93"/>
      <c r="X93"/>
    </row>
    <row r="94" spans="1:24" ht="33.75" x14ac:dyDescent="0.2">
      <c r="A94" s="18">
        <v>86</v>
      </c>
      <c r="B94" s="7" t="s">
        <v>271</v>
      </c>
      <c r="C94" s="5" t="s">
        <v>909</v>
      </c>
      <c r="D94" s="13">
        <v>142</v>
      </c>
      <c r="E94" s="7" t="s">
        <v>271</v>
      </c>
      <c r="F94" s="18" t="s">
        <v>677</v>
      </c>
      <c r="G94" s="42">
        <v>6</v>
      </c>
      <c r="H94" s="24">
        <f>650/1.12</f>
        <v>580.35714285714278</v>
      </c>
      <c r="I94" s="23">
        <f t="shared" si="2"/>
        <v>3482.1428571428569</v>
      </c>
      <c r="J94" s="18" t="s">
        <v>43</v>
      </c>
      <c r="K94" s="18" t="s">
        <v>41</v>
      </c>
      <c r="L94" s="6"/>
      <c r="M94" s="6"/>
      <c r="N94" s="6"/>
      <c r="O94" s="6"/>
      <c r="P94" s="6"/>
      <c r="Q94" s="6"/>
      <c r="R94" s="6"/>
      <c r="S94" s="6"/>
      <c r="T94" s="6"/>
      <c r="U94"/>
      <c r="V94"/>
      <c r="W94"/>
      <c r="X94"/>
    </row>
    <row r="95" spans="1:24" ht="33.75" x14ac:dyDescent="0.2">
      <c r="A95" s="18">
        <v>88</v>
      </c>
      <c r="B95" s="7" t="s">
        <v>272</v>
      </c>
      <c r="C95" s="5" t="s">
        <v>909</v>
      </c>
      <c r="D95" s="13">
        <v>142</v>
      </c>
      <c r="E95" s="7" t="s">
        <v>272</v>
      </c>
      <c r="F95" s="18" t="s">
        <v>677</v>
      </c>
      <c r="G95" s="42">
        <v>50</v>
      </c>
      <c r="H95" s="24">
        <v>100</v>
      </c>
      <c r="I95" s="23">
        <f t="shared" si="2"/>
        <v>5000</v>
      </c>
      <c r="J95" s="18" t="s">
        <v>43</v>
      </c>
      <c r="K95" s="18" t="s">
        <v>41</v>
      </c>
      <c r="L95" s="6"/>
      <c r="M95" s="6"/>
      <c r="N95" s="6"/>
      <c r="O95" s="6"/>
      <c r="P95" s="6"/>
      <c r="Q95" s="6"/>
      <c r="R95" s="6"/>
      <c r="S95" s="6"/>
      <c r="T95" s="6"/>
      <c r="U95"/>
      <c r="V95"/>
      <c r="W95"/>
      <c r="X95"/>
    </row>
    <row r="96" spans="1:24" ht="33.75" x14ac:dyDescent="0.2">
      <c r="A96" s="18">
        <v>89</v>
      </c>
      <c r="B96" s="7" t="s">
        <v>273</v>
      </c>
      <c r="C96" s="5" t="s">
        <v>909</v>
      </c>
      <c r="D96" s="13">
        <v>142</v>
      </c>
      <c r="E96" s="7" t="s">
        <v>273</v>
      </c>
      <c r="F96" s="18" t="s">
        <v>48</v>
      </c>
      <c r="G96" s="42">
        <v>10</v>
      </c>
      <c r="H96" s="24">
        <f>625/1.12</f>
        <v>558.03571428571422</v>
      </c>
      <c r="I96" s="23">
        <f t="shared" si="2"/>
        <v>5580.3571428571422</v>
      </c>
      <c r="J96" s="18" t="s">
        <v>43</v>
      </c>
      <c r="K96" s="18" t="s">
        <v>41</v>
      </c>
      <c r="L96" s="6"/>
      <c r="M96" s="6"/>
      <c r="N96" s="6"/>
      <c r="O96" s="6"/>
      <c r="P96" s="6"/>
      <c r="Q96" s="6"/>
      <c r="R96" s="6"/>
      <c r="S96" s="6"/>
      <c r="T96" s="6"/>
      <c r="U96"/>
      <c r="V96"/>
      <c r="W96"/>
      <c r="X96"/>
    </row>
    <row r="97" spans="1:24" ht="33.75" x14ac:dyDescent="0.2">
      <c r="A97" s="18">
        <v>90</v>
      </c>
      <c r="B97" s="7" t="s">
        <v>274</v>
      </c>
      <c r="C97" s="5" t="s">
        <v>909</v>
      </c>
      <c r="D97" s="13">
        <v>142</v>
      </c>
      <c r="E97" s="7" t="s">
        <v>274</v>
      </c>
      <c r="F97" s="18" t="s">
        <v>677</v>
      </c>
      <c r="G97" s="42">
        <v>10</v>
      </c>
      <c r="H97" s="24">
        <v>2232</v>
      </c>
      <c r="I97" s="23">
        <f t="shared" si="2"/>
        <v>22320</v>
      </c>
      <c r="J97" s="18" t="s">
        <v>43</v>
      </c>
      <c r="K97" s="18" t="s">
        <v>41</v>
      </c>
      <c r="L97" s="6"/>
      <c r="M97" s="6"/>
      <c r="N97" s="6"/>
      <c r="O97" s="6"/>
      <c r="P97" s="6"/>
      <c r="Q97" s="6"/>
      <c r="R97" s="6"/>
      <c r="S97" s="6"/>
      <c r="T97" s="6"/>
      <c r="U97"/>
      <c r="V97"/>
      <c r="W97"/>
      <c r="X97"/>
    </row>
    <row r="98" spans="1:24" ht="33.75" x14ac:dyDescent="0.2">
      <c r="A98" s="18">
        <v>91</v>
      </c>
      <c r="B98" s="7" t="s">
        <v>275</v>
      </c>
      <c r="C98" s="5" t="s">
        <v>909</v>
      </c>
      <c r="D98" s="13">
        <v>142</v>
      </c>
      <c r="E98" s="7" t="s">
        <v>275</v>
      </c>
      <c r="F98" s="18" t="s">
        <v>677</v>
      </c>
      <c r="G98" s="42">
        <v>2</v>
      </c>
      <c r="H98" s="24">
        <v>1000</v>
      </c>
      <c r="I98" s="23">
        <f t="shared" si="2"/>
        <v>2000</v>
      </c>
      <c r="J98" s="18" t="s">
        <v>43</v>
      </c>
      <c r="K98" s="18" t="s">
        <v>41</v>
      </c>
      <c r="L98" s="6"/>
      <c r="M98" s="6"/>
      <c r="N98" s="6"/>
      <c r="O98" s="6"/>
      <c r="P98" s="6"/>
      <c r="Q98" s="6"/>
      <c r="R98" s="6"/>
      <c r="S98" s="6"/>
      <c r="T98" s="6"/>
      <c r="U98"/>
      <c r="V98"/>
      <c r="W98"/>
      <c r="X98"/>
    </row>
    <row r="99" spans="1:24" ht="33.75" x14ac:dyDescent="0.2">
      <c r="A99" s="18">
        <v>92</v>
      </c>
      <c r="B99" s="7" t="s">
        <v>276</v>
      </c>
      <c r="C99" s="5" t="s">
        <v>909</v>
      </c>
      <c r="D99" s="13">
        <v>142</v>
      </c>
      <c r="E99" s="7" t="s">
        <v>276</v>
      </c>
      <c r="F99" s="18" t="s">
        <v>48</v>
      </c>
      <c r="G99" s="42">
        <v>6</v>
      </c>
      <c r="H99" s="24">
        <f>350/1.12</f>
        <v>312.49999999999994</v>
      </c>
      <c r="I99" s="23">
        <f t="shared" si="2"/>
        <v>1874.9999999999995</v>
      </c>
      <c r="J99" s="18" t="s">
        <v>43</v>
      </c>
      <c r="K99" s="18" t="s">
        <v>41</v>
      </c>
      <c r="L99" s="6"/>
      <c r="M99" s="6"/>
      <c r="N99" s="6"/>
      <c r="O99" s="6"/>
      <c r="P99" s="6"/>
      <c r="Q99" s="6"/>
      <c r="R99" s="6"/>
      <c r="S99" s="6"/>
      <c r="T99" s="6"/>
      <c r="U99"/>
      <c r="V99"/>
      <c r="W99"/>
      <c r="X99"/>
    </row>
    <row r="100" spans="1:24" ht="33.75" x14ac:dyDescent="0.2">
      <c r="A100" s="18">
        <v>93</v>
      </c>
      <c r="B100" s="7" t="s">
        <v>277</v>
      </c>
      <c r="C100" s="5" t="s">
        <v>909</v>
      </c>
      <c r="D100" s="13">
        <v>142</v>
      </c>
      <c r="E100" s="7" t="s">
        <v>277</v>
      </c>
      <c r="F100" s="18" t="s">
        <v>677</v>
      </c>
      <c r="G100" s="42">
        <v>10</v>
      </c>
      <c r="H100" s="24">
        <f>1300/1.12</f>
        <v>1160.7142857142856</v>
      </c>
      <c r="I100" s="23">
        <f t="shared" si="2"/>
        <v>11607.142857142855</v>
      </c>
      <c r="J100" s="18" t="s">
        <v>43</v>
      </c>
      <c r="K100" s="18" t="s">
        <v>41</v>
      </c>
      <c r="L100" s="6"/>
      <c r="M100" s="6"/>
      <c r="N100" s="6"/>
      <c r="O100" s="6"/>
      <c r="P100" s="6"/>
      <c r="Q100" s="6"/>
      <c r="R100" s="6"/>
      <c r="S100" s="6"/>
      <c r="T100" s="6"/>
      <c r="U100"/>
      <c r="V100"/>
      <c r="W100"/>
      <c r="X100"/>
    </row>
    <row r="101" spans="1:24" ht="33.75" x14ac:dyDescent="0.2">
      <c r="A101" s="18">
        <v>94</v>
      </c>
      <c r="B101" s="7" t="s">
        <v>278</v>
      </c>
      <c r="C101" s="5" t="s">
        <v>909</v>
      </c>
      <c r="D101" s="13">
        <v>142</v>
      </c>
      <c r="E101" s="7" t="s">
        <v>278</v>
      </c>
      <c r="F101" s="18" t="s">
        <v>677</v>
      </c>
      <c r="G101" s="42">
        <v>20</v>
      </c>
      <c r="H101" s="24">
        <v>800</v>
      </c>
      <c r="I101" s="23">
        <f t="shared" si="2"/>
        <v>16000</v>
      </c>
      <c r="J101" s="18" t="s">
        <v>43</v>
      </c>
      <c r="K101" s="18" t="s">
        <v>41</v>
      </c>
      <c r="L101" s="6"/>
      <c r="M101" s="6"/>
      <c r="N101" s="6"/>
      <c r="O101" s="6"/>
      <c r="P101" s="6"/>
      <c r="Q101" s="6"/>
      <c r="R101" s="6"/>
      <c r="S101" s="6"/>
      <c r="T101" s="6"/>
      <c r="U101"/>
      <c r="V101"/>
      <c r="W101"/>
      <c r="X101"/>
    </row>
    <row r="102" spans="1:24" ht="33.75" x14ac:dyDescent="0.2">
      <c r="A102" s="18">
        <v>95</v>
      </c>
      <c r="B102" s="7" t="s">
        <v>279</v>
      </c>
      <c r="C102" s="5" t="s">
        <v>909</v>
      </c>
      <c r="D102" s="13">
        <v>142</v>
      </c>
      <c r="E102" s="7" t="s">
        <v>279</v>
      </c>
      <c r="F102" s="18" t="s">
        <v>677</v>
      </c>
      <c r="G102" s="42">
        <v>20</v>
      </c>
      <c r="H102" s="24">
        <v>300</v>
      </c>
      <c r="I102" s="23">
        <f t="shared" si="2"/>
        <v>6000</v>
      </c>
      <c r="J102" s="18" t="s">
        <v>43</v>
      </c>
      <c r="K102" s="18" t="s">
        <v>41</v>
      </c>
      <c r="L102" s="6"/>
      <c r="M102" s="6"/>
      <c r="N102" s="6"/>
      <c r="O102" s="6"/>
      <c r="P102" s="6"/>
      <c r="Q102" s="6"/>
      <c r="R102" s="6"/>
      <c r="S102" s="6"/>
      <c r="T102" s="6"/>
      <c r="U102"/>
      <c r="V102"/>
      <c r="W102"/>
      <c r="X102"/>
    </row>
    <row r="103" spans="1:24" ht="33.75" x14ac:dyDescent="0.2">
      <c r="A103" s="18">
        <v>96</v>
      </c>
      <c r="B103" s="7" t="s">
        <v>280</v>
      </c>
      <c r="C103" s="5" t="s">
        <v>909</v>
      </c>
      <c r="D103" s="13">
        <v>142</v>
      </c>
      <c r="E103" s="7" t="s">
        <v>280</v>
      </c>
      <c r="F103" s="18" t="s">
        <v>677</v>
      </c>
      <c r="G103" s="42">
        <v>5</v>
      </c>
      <c r="H103" s="24">
        <f>2670/1.12</f>
        <v>2383.9285714285711</v>
      </c>
      <c r="I103" s="23">
        <f t="shared" si="2"/>
        <v>11919.642857142855</v>
      </c>
      <c r="J103" s="18" t="s">
        <v>43</v>
      </c>
      <c r="K103" s="18" t="s">
        <v>41</v>
      </c>
      <c r="L103" s="6"/>
      <c r="M103" s="6"/>
      <c r="N103" s="6"/>
      <c r="O103" s="6"/>
      <c r="P103" s="6"/>
      <c r="Q103" s="6"/>
      <c r="R103" s="6"/>
      <c r="S103" s="6"/>
      <c r="T103" s="6"/>
      <c r="U103"/>
      <c r="V103"/>
      <c r="W103"/>
      <c r="X103"/>
    </row>
    <row r="104" spans="1:24" ht="33.75" x14ac:dyDescent="0.2">
      <c r="A104" s="18">
        <v>97</v>
      </c>
      <c r="B104" s="7" t="s">
        <v>281</v>
      </c>
      <c r="C104" s="5" t="s">
        <v>909</v>
      </c>
      <c r="D104" s="13">
        <v>142</v>
      </c>
      <c r="E104" s="7" t="s">
        <v>281</v>
      </c>
      <c r="F104" s="18" t="s">
        <v>677</v>
      </c>
      <c r="G104" s="42">
        <v>3</v>
      </c>
      <c r="H104" s="24">
        <f>3900/1.12</f>
        <v>3482.1428571428569</v>
      </c>
      <c r="I104" s="23">
        <f t="shared" si="2"/>
        <v>10446.428571428571</v>
      </c>
      <c r="J104" s="18" t="s">
        <v>43</v>
      </c>
      <c r="K104" s="18" t="s">
        <v>41</v>
      </c>
      <c r="L104" s="6"/>
      <c r="M104" s="6"/>
      <c r="N104" s="6"/>
      <c r="O104" s="6"/>
      <c r="P104" s="6"/>
      <c r="Q104" s="6"/>
      <c r="R104" s="6"/>
      <c r="S104" s="6"/>
      <c r="T104" s="6"/>
      <c r="U104"/>
      <c r="V104"/>
      <c r="W104"/>
      <c r="X104"/>
    </row>
    <row r="105" spans="1:24" ht="33.75" x14ac:dyDescent="0.2">
      <c r="A105" s="18">
        <v>98</v>
      </c>
      <c r="B105" s="7" t="s">
        <v>282</v>
      </c>
      <c r="C105" s="5" t="s">
        <v>909</v>
      </c>
      <c r="D105" s="13">
        <v>142</v>
      </c>
      <c r="E105" s="7" t="s">
        <v>282</v>
      </c>
      <c r="F105" s="18" t="s">
        <v>48</v>
      </c>
      <c r="G105" s="42">
        <v>10</v>
      </c>
      <c r="H105" s="24">
        <v>2000</v>
      </c>
      <c r="I105" s="23">
        <f t="shared" si="2"/>
        <v>20000</v>
      </c>
      <c r="J105" s="18" t="s">
        <v>43</v>
      </c>
      <c r="K105" s="18" t="s">
        <v>41</v>
      </c>
      <c r="L105" s="6"/>
      <c r="M105" s="6"/>
      <c r="N105" s="6"/>
      <c r="O105" s="6"/>
      <c r="P105" s="6"/>
      <c r="Q105" s="6"/>
      <c r="R105" s="6"/>
      <c r="S105" s="6"/>
      <c r="T105" s="6"/>
      <c r="U105"/>
      <c r="V105"/>
      <c r="W105"/>
      <c r="X105"/>
    </row>
    <row r="106" spans="1:24" ht="33.75" x14ac:dyDescent="0.2">
      <c r="A106" s="18">
        <v>99</v>
      </c>
      <c r="B106" s="7" t="s">
        <v>283</v>
      </c>
      <c r="C106" s="5" t="s">
        <v>909</v>
      </c>
      <c r="D106" s="13">
        <v>142</v>
      </c>
      <c r="E106" s="7" t="s">
        <v>283</v>
      </c>
      <c r="F106" s="18" t="s">
        <v>677</v>
      </c>
      <c r="G106" s="42">
        <v>3</v>
      </c>
      <c r="H106" s="24">
        <f>4500/1.12</f>
        <v>4017.8571428571427</v>
      </c>
      <c r="I106" s="23">
        <f t="shared" si="2"/>
        <v>12053.571428571428</v>
      </c>
      <c r="J106" s="18" t="s">
        <v>43</v>
      </c>
      <c r="K106" s="18" t="s">
        <v>41</v>
      </c>
      <c r="L106" s="6"/>
      <c r="M106" s="6"/>
      <c r="N106" s="6"/>
      <c r="O106" s="6"/>
      <c r="P106" s="6"/>
      <c r="Q106" s="6"/>
      <c r="R106" s="6"/>
      <c r="S106" s="6"/>
      <c r="T106" s="6"/>
      <c r="U106"/>
      <c r="V106"/>
      <c r="W106"/>
      <c r="X106"/>
    </row>
    <row r="107" spans="1:24" ht="33.75" x14ac:dyDescent="0.2">
      <c r="A107" s="18">
        <v>100</v>
      </c>
      <c r="B107" s="7" t="s">
        <v>284</v>
      </c>
      <c r="C107" s="5" t="s">
        <v>909</v>
      </c>
      <c r="D107" s="13">
        <v>142</v>
      </c>
      <c r="E107" s="7" t="s">
        <v>284</v>
      </c>
      <c r="F107" s="18" t="s">
        <v>677</v>
      </c>
      <c r="G107" s="42">
        <v>20</v>
      </c>
      <c r="H107" s="24">
        <f>540/1.12</f>
        <v>482.14285714285711</v>
      </c>
      <c r="I107" s="23">
        <f t="shared" si="2"/>
        <v>9642.8571428571413</v>
      </c>
      <c r="J107" s="18" t="s">
        <v>43</v>
      </c>
      <c r="K107" s="18" t="s">
        <v>41</v>
      </c>
      <c r="L107" s="6"/>
      <c r="M107" s="6"/>
      <c r="N107" s="6"/>
      <c r="O107" s="6"/>
      <c r="P107" s="6"/>
      <c r="Q107" s="6"/>
      <c r="R107" s="6"/>
      <c r="S107" s="6"/>
      <c r="T107" s="6"/>
      <c r="U107"/>
      <c r="V107"/>
      <c r="W107"/>
      <c r="X107"/>
    </row>
    <row r="108" spans="1:24" ht="33.75" x14ac:dyDescent="0.2">
      <c r="A108" s="18">
        <v>101</v>
      </c>
      <c r="B108" s="7" t="s">
        <v>285</v>
      </c>
      <c r="C108" s="5" t="s">
        <v>909</v>
      </c>
      <c r="D108" s="13">
        <v>142</v>
      </c>
      <c r="E108" s="7" t="s">
        <v>285</v>
      </c>
      <c r="F108" s="18" t="s">
        <v>48</v>
      </c>
      <c r="G108" s="42">
        <v>10</v>
      </c>
      <c r="H108" s="24">
        <f>1700/1.12</f>
        <v>1517.8571428571427</v>
      </c>
      <c r="I108" s="23">
        <f t="shared" si="2"/>
        <v>15178.571428571428</v>
      </c>
      <c r="J108" s="18" t="s">
        <v>43</v>
      </c>
      <c r="K108" s="18" t="s">
        <v>41</v>
      </c>
      <c r="L108" s="6"/>
      <c r="M108" s="6"/>
      <c r="N108" s="6"/>
      <c r="O108" s="6"/>
      <c r="P108" s="6"/>
      <c r="Q108" s="6"/>
      <c r="R108" s="6"/>
      <c r="S108" s="6"/>
      <c r="T108" s="6"/>
      <c r="U108"/>
      <c r="V108"/>
      <c r="W108"/>
      <c r="X108"/>
    </row>
    <row r="109" spans="1:24" ht="33.75" x14ac:dyDescent="0.2">
      <c r="A109" s="18">
        <v>102</v>
      </c>
      <c r="B109" s="7" t="s">
        <v>286</v>
      </c>
      <c r="C109" s="5" t="s">
        <v>909</v>
      </c>
      <c r="D109" s="13">
        <v>142</v>
      </c>
      <c r="E109" s="7" t="s">
        <v>286</v>
      </c>
      <c r="F109" s="18" t="s">
        <v>677</v>
      </c>
      <c r="G109" s="42">
        <v>4</v>
      </c>
      <c r="H109" s="24">
        <f>690/1.12</f>
        <v>616.07142857142856</v>
      </c>
      <c r="I109" s="23">
        <f t="shared" si="2"/>
        <v>2464.2857142857142</v>
      </c>
      <c r="J109" s="18" t="s">
        <v>43</v>
      </c>
      <c r="K109" s="18" t="s">
        <v>41</v>
      </c>
      <c r="L109" s="6"/>
      <c r="M109" s="6"/>
      <c r="N109" s="6"/>
      <c r="O109" s="6"/>
      <c r="P109" s="6"/>
      <c r="Q109" s="6"/>
      <c r="R109" s="6"/>
      <c r="S109" s="6"/>
      <c r="T109" s="6"/>
      <c r="U109"/>
      <c r="V109"/>
      <c r="W109"/>
      <c r="X109"/>
    </row>
    <row r="110" spans="1:24" ht="33.75" x14ac:dyDescent="0.2">
      <c r="A110" s="18">
        <v>103</v>
      </c>
      <c r="B110" s="7" t="s">
        <v>287</v>
      </c>
      <c r="C110" s="5" t="s">
        <v>909</v>
      </c>
      <c r="D110" s="13">
        <v>142</v>
      </c>
      <c r="E110" s="7" t="s">
        <v>287</v>
      </c>
      <c r="F110" s="18" t="s">
        <v>48</v>
      </c>
      <c r="G110" s="42">
        <v>2</v>
      </c>
      <c r="H110" s="24">
        <v>26785.71</v>
      </c>
      <c r="I110" s="23">
        <f t="shared" si="2"/>
        <v>53571.42</v>
      </c>
      <c r="J110" s="18" t="s">
        <v>43</v>
      </c>
      <c r="K110" s="18" t="s">
        <v>41</v>
      </c>
      <c r="L110" s="6"/>
      <c r="M110" s="6"/>
      <c r="N110" s="6"/>
      <c r="O110" s="6"/>
      <c r="P110" s="6"/>
      <c r="Q110" s="6"/>
      <c r="R110" s="6"/>
      <c r="S110" s="6"/>
      <c r="T110" s="6"/>
      <c r="U110"/>
      <c r="V110"/>
      <c r="W110"/>
      <c r="X110"/>
    </row>
    <row r="111" spans="1:24" ht="33.75" x14ac:dyDescent="0.2">
      <c r="A111" s="18">
        <v>104</v>
      </c>
      <c r="B111" s="7" t="s">
        <v>288</v>
      </c>
      <c r="C111" s="5" t="s">
        <v>909</v>
      </c>
      <c r="D111" s="13">
        <v>142</v>
      </c>
      <c r="E111" s="7" t="s">
        <v>288</v>
      </c>
      <c r="F111" s="18" t="s">
        <v>48</v>
      </c>
      <c r="G111" s="42">
        <v>10</v>
      </c>
      <c r="H111" s="24">
        <v>2232.14</v>
      </c>
      <c r="I111" s="23">
        <f t="shared" si="2"/>
        <v>22321.399999999998</v>
      </c>
      <c r="J111" s="18" t="s">
        <v>43</v>
      </c>
      <c r="K111" s="18" t="s">
        <v>41</v>
      </c>
      <c r="L111" s="6"/>
      <c r="M111" s="6"/>
      <c r="N111" s="6"/>
      <c r="O111" s="6"/>
      <c r="P111" s="6"/>
      <c r="Q111" s="6"/>
      <c r="R111" s="6"/>
      <c r="S111" s="6"/>
      <c r="T111" s="6"/>
      <c r="U111"/>
      <c r="V111"/>
      <c r="W111"/>
      <c r="X111"/>
    </row>
    <row r="112" spans="1:24" ht="33.75" x14ac:dyDescent="0.2">
      <c r="A112" s="18">
        <v>105</v>
      </c>
      <c r="B112" s="7" t="s">
        <v>289</v>
      </c>
      <c r="C112" s="5" t="s">
        <v>909</v>
      </c>
      <c r="D112" s="13">
        <v>142</v>
      </c>
      <c r="E112" s="7" t="s">
        <v>289</v>
      </c>
      <c r="F112" s="18" t="s">
        <v>677</v>
      </c>
      <c r="G112" s="42">
        <v>500</v>
      </c>
      <c r="H112" s="24">
        <v>130</v>
      </c>
      <c r="I112" s="23">
        <f t="shared" si="2"/>
        <v>65000</v>
      </c>
      <c r="J112" s="18" t="s">
        <v>43</v>
      </c>
      <c r="K112" s="18" t="s">
        <v>41</v>
      </c>
      <c r="L112" s="6"/>
      <c r="M112" s="6"/>
      <c r="N112" s="6"/>
      <c r="O112" s="6"/>
      <c r="P112" s="6"/>
      <c r="Q112" s="6"/>
      <c r="R112" s="6"/>
      <c r="S112" s="6"/>
      <c r="T112" s="6"/>
      <c r="U112"/>
      <c r="V112"/>
      <c r="W112"/>
      <c r="X112"/>
    </row>
    <row r="113" spans="1:24" ht="33.75" x14ac:dyDescent="0.2">
      <c r="A113" s="18">
        <v>106</v>
      </c>
      <c r="B113" s="7" t="s">
        <v>290</v>
      </c>
      <c r="C113" s="5" t="s">
        <v>909</v>
      </c>
      <c r="D113" s="13">
        <v>142</v>
      </c>
      <c r="E113" s="7" t="s">
        <v>290</v>
      </c>
      <c r="F113" s="18" t="s">
        <v>677</v>
      </c>
      <c r="G113" s="42">
        <v>10</v>
      </c>
      <c r="H113" s="24">
        <f>550/1.12</f>
        <v>491.0714285714285</v>
      </c>
      <c r="I113" s="23">
        <f t="shared" si="2"/>
        <v>4910.7142857142853</v>
      </c>
      <c r="J113" s="18" t="s">
        <v>43</v>
      </c>
      <c r="K113" s="18" t="s">
        <v>41</v>
      </c>
      <c r="L113" s="6"/>
      <c r="M113" s="6"/>
      <c r="N113" s="6"/>
      <c r="O113" s="6"/>
      <c r="P113" s="6"/>
      <c r="Q113" s="6"/>
      <c r="R113" s="6"/>
      <c r="S113" s="6"/>
      <c r="T113" s="6"/>
      <c r="U113"/>
      <c r="V113"/>
      <c r="W113"/>
      <c r="X113"/>
    </row>
    <row r="114" spans="1:24" ht="33.75" x14ac:dyDescent="0.2">
      <c r="A114" s="18">
        <v>107</v>
      </c>
      <c r="B114" s="7" t="s">
        <v>291</v>
      </c>
      <c r="C114" s="5" t="s">
        <v>909</v>
      </c>
      <c r="D114" s="13">
        <v>142</v>
      </c>
      <c r="E114" s="7" t="s">
        <v>291</v>
      </c>
      <c r="F114" s="18" t="s">
        <v>677</v>
      </c>
      <c r="G114" s="42">
        <v>2</v>
      </c>
      <c r="H114" s="24">
        <v>1785.71</v>
      </c>
      <c r="I114" s="23">
        <f t="shared" si="2"/>
        <v>3571.42</v>
      </c>
      <c r="J114" s="18" t="s">
        <v>43</v>
      </c>
      <c r="K114" s="18" t="s">
        <v>41</v>
      </c>
      <c r="L114" s="6"/>
      <c r="M114" s="6"/>
      <c r="N114" s="6"/>
      <c r="O114" s="6"/>
      <c r="P114" s="6"/>
      <c r="Q114" s="6"/>
      <c r="R114" s="6"/>
      <c r="S114" s="6"/>
      <c r="T114" s="6"/>
      <c r="U114"/>
      <c r="V114"/>
      <c r="W114"/>
      <c r="X114"/>
    </row>
    <row r="115" spans="1:24" ht="33.75" x14ac:dyDescent="0.2">
      <c r="A115" s="18">
        <v>108</v>
      </c>
      <c r="B115" s="7" t="s">
        <v>292</v>
      </c>
      <c r="C115" s="5" t="s">
        <v>909</v>
      </c>
      <c r="D115" s="13">
        <v>142</v>
      </c>
      <c r="E115" s="7" t="s">
        <v>292</v>
      </c>
      <c r="F115" s="18" t="s">
        <v>48</v>
      </c>
      <c r="G115" s="42">
        <v>2</v>
      </c>
      <c r="H115" s="24">
        <v>17857.14</v>
      </c>
      <c r="I115" s="23">
        <f t="shared" si="2"/>
        <v>35714.28</v>
      </c>
      <c r="J115" s="18" t="s">
        <v>43</v>
      </c>
      <c r="K115" s="18" t="s">
        <v>41</v>
      </c>
      <c r="L115" s="6"/>
      <c r="M115" s="6"/>
      <c r="N115" s="6"/>
      <c r="O115" s="6"/>
      <c r="P115" s="6"/>
      <c r="Q115" s="6"/>
      <c r="R115" s="6"/>
      <c r="S115" s="6"/>
      <c r="T115" s="6"/>
      <c r="U115"/>
      <c r="V115"/>
      <c r="W115"/>
      <c r="X115"/>
    </row>
    <row r="116" spans="1:24" ht="33.75" x14ac:dyDescent="0.2">
      <c r="A116" s="18">
        <v>109</v>
      </c>
      <c r="B116" s="7" t="s">
        <v>293</v>
      </c>
      <c r="C116" s="5" t="s">
        <v>909</v>
      </c>
      <c r="D116" s="13">
        <v>142</v>
      </c>
      <c r="E116" s="7" t="s">
        <v>293</v>
      </c>
      <c r="F116" s="18" t="s">
        <v>677</v>
      </c>
      <c r="G116" s="42">
        <v>2</v>
      </c>
      <c r="H116" s="24">
        <f>2500/1.12</f>
        <v>2232.1428571428569</v>
      </c>
      <c r="I116" s="23">
        <f t="shared" si="2"/>
        <v>4464.2857142857138</v>
      </c>
      <c r="J116" s="18" t="s">
        <v>43</v>
      </c>
      <c r="K116" s="18" t="s">
        <v>41</v>
      </c>
      <c r="L116" s="6"/>
      <c r="M116" s="6"/>
      <c r="N116" s="6"/>
      <c r="O116" s="6"/>
      <c r="P116" s="6"/>
      <c r="Q116" s="6"/>
      <c r="R116" s="6"/>
      <c r="S116" s="6"/>
      <c r="T116" s="6"/>
      <c r="U116"/>
      <c r="V116"/>
      <c r="W116"/>
      <c r="X116"/>
    </row>
    <row r="117" spans="1:24" ht="33.75" x14ac:dyDescent="0.2">
      <c r="A117" s="18">
        <v>110</v>
      </c>
      <c r="B117" s="7" t="s">
        <v>294</v>
      </c>
      <c r="C117" s="5" t="s">
        <v>909</v>
      </c>
      <c r="D117" s="13">
        <v>142</v>
      </c>
      <c r="E117" s="7" t="s">
        <v>294</v>
      </c>
      <c r="F117" s="18" t="s">
        <v>48</v>
      </c>
      <c r="G117" s="42">
        <v>8</v>
      </c>
      <c r="H117" s="24">
        <v>1000</v>
      </c>
      <c r="I117" s="23">
        <f t="shared" si="2"/>
        <v>8000</v>
      </c>
      <c r="J117" s="18" t="s">
        <v>43</v>
      </c>
      <c r="K117" s="18" t="s">
        <v>41</v>
      </c>
      <c r="L117" s="6"/>
      <c r="M117" s="6"/>
      <c r="N117" s="6"/>
      <c r="O117" s="6"/>
      <c r="P117" s="6"/>
      <c r="Q117" s="6"/>
      <c r="R117" s="6"/>
      <c r="S117" s="6"/>
      <c r="T117" s="6"/>
      <c r="U117"/>
      <c r="V117"/>
      <c r="W117"/>
      <c r="X117"/>
    </row>
    <row r="118" spans="1:24" ht="33.75" x14ac:dyDescent="0.2">
      <c r="A118" s="18">
        <v>111</v>
      </c>
      <c r="B118" s="7" t="s">
        <v>295</v>
      </c>
      <c r="C118" s="5" t="s">
        <v>909</v>
      </c>
      <c r="D118" s="13">
        <v>142</v>
      </c>
      <c r="E118" s="7" t="s">
        <v>295</v>
      </c>
      <c r="F118" s="18" t="s">
        <v>677</v>
      </c>
      <c r="G118" s="42">
        <v>2</v>
      </c>
      <c r="H118" s="24">
        <v>11607.14</v>
      </c>
      <c r="I118" s="23">
        <f t="shared" si="2"/>
        <v>23214.28</v>
      </c>
      <c r="J118" s="18" t="s">
        <v>43</v>
      </c>
      <c r="K118" s="18" t="s">
        <v>41</v>
      </c>
      <c r="L118" s="6"/>
      <c r="M118" s="6"/>
      <c r="N118" s="6"/>
      <c r="O118" s="6"/>
      <c r="P118" s="6"/>
      <c r="Q118" s="6"/>
      <c r="R118" s="6"/>
      <c r="S118" s="6"/>
      <c r="T118" s="6"/>
      <c r="U118"/>
      <c r="V118"/>
      <c r="W118"/>
      <c r="X118"/>
    </row>
    <row r="119" spans="1:24" ht="33.75" x14ac:dyDescent="0.2">
      <c r="A119" s="18">
        <v>112</v>
      </c>
      <c r="B119" s="7" t="s">
        <v>296</v>
      </c>
      <c r="C119" s="5" t="s">
        <v>909</v>
      </c>
      <c r="D119" s="13">
        <v>142</v>
      </c>
      <c r="E119" s="7" t="s">
        <v>296</v>
      </c>
      <c r="F119" s="18" t="s">
        <v>677</v>
      </c>
      <c r="G119" s="42">
        <v>10</v>
      </c>
      <c r="H119" s="24">
        <f>250/1.12</f>
        <v>223.21428571428569</v>
      </c>
      <c r="I119" s="23">
        <f t="shared" si="2"/>
        <v>2232.1428571428569</v>
      </c>
      <c r="J119" s="18" t="s">
        <v>43</v>
      </c>
      <c r="K119" s="18" t="s">
        <v>41</v>
      </c>
      <c r="L119" s="6"/>
      <c r="M119" s="6"/>
      <c r="N119" s="6"/>
      <c r="O119" s="6"/>
      <c r="P119" s="6"/>
      <c r="Q119" s="6"/>
      <c r="R119" s="6"/>
      <c r="S119" s="6"/>
      <c r="T119" s="6"/>
      <c r="U119"/>
      <c r="V119"/>
      <c r="W119"/>
      <c r="X119"/>
    </row>
    <row r="120" spans="1:24" ht="33.75" x14ac:dyDescent="0.2">
      <c r="A120" s="18">
        <v>113</v>
      </c>
      <c r="B120" s="7" t="s">
        <v>297</v>
      </c>
      <c r="C120" s="5" t="s">
        <v>909</v>
      </c>
      <c r="D120" s="13">
        <v>142</v>
      </c>
      <c r="E120" s="7" t="s">
        <v>297</v>
      </c>
      <c r="F120" s="18" t="s">
        <v>48</v>
      </c>
      <c r="G120" s="42">
        <v>5</v>
      </c>
      <c r="H120" s="24">
        <f>1300/1.12</f>
        <v>1160.7142857142856</v>
      </c>
      <c r="I120" s="23">
        <f t="shared" si="2"/>
        <v>5803.5714285714275</v>
      </c>
      <c r="J120" s="18" t="s">
        <v>43</v>
      </c>
      <c r="K120" s="18" t="s">
        <v>41</v>
      </c>
      <c r="L120" s="6"/>
      <c r="M120" s="6"/>
      <c r="N120" s="6"/>
      <c r="O120" s="6"/>
      <c r="P120" s="6"/>
      <c r="Q120" s="6"/>
      <c r="R120" s="6"/>
      <c r="S120" s="6"/>
      <c r="T120" s="6"/>
      <c r="U120"/>
      <c r="V120"/>
      <c r="W120"/>
      <c r="X120"/>
    </row>
    <row r="121" spans="1:24" ht="33.75" x14ac:dyDescent="0.2">
      <c r="A121" s="18">
        <v>114</v>
      </c>
      <c r="B121" s="7" t="s">
        <v>298</v>
      </c>
      <c r="C121" s="5" t="s">
        <v>909</v>
      </c>
      <c r="D121" s="13">
        <v>142</v>
      </c>
      <c r="E121" s="7" t="s">
        <v>298</v>
      </c>
      <c r="F121" s="18" t="s">
        <v>48</v>
      </c>
      <c r="G121" s="42">
        <v>5</v>
      </c>
      <c r="H121" s="24">
        <v>1785.71</v>
      </c>
      <c r="I121" s="23">
        <f t="shared" si="2"/>
        <v>8928.5499999999993</v>
      </c>
      <c r="J121" s="18" t="s">
        <v>43</v>
      </c>
      <c r="K121" s="18" t="s">
        <v>41</v>
      </c>
      <c r="L121" s="6"/>
      <c r="M121" s="6"/>
      <c r="N121" s="6"/>
      <c r="O121" s="6"/>
      <c r="P121" s="6"/>
      <c r="Q121" s="6"/>
      <c r="R121" s="6"/>
      <c r="S121" s="6"/>
      <c r="T121" s="6"/>
      <c r="U121"/>
      <c r="V121"/>
      <c r="W121"/>
      <c r="X121"/>
    </row>
    <row r="122" spans="1:24" ht="33.75" x14ac:dyDescent="0.2">
      <c r="A122" s="18">
        <v>115</v>
      </c>
      <c r="B122" s="7" t="s">
        <v>299</v>
      </c>
      <c r="C122" s="5" t="s">
        <v>909</v>
      </c>
      <c r="D122" s="13">
        <v>142</v>
      </c>
      <c r="E122" s="7" t="s">
        <v>299</v>
      </c>
      <c r="F122" s="18" t="s">
        <v>677</v>
      </c>
      <c r="G122" s="42">
        <v>3</v>
      </c>
      <c r="H122" s="24">
        <v>3571.42</v>
      </c>
      <c r="I122" s="23">
        <f t="shared" si="2"/>
        <v>10714.26</v>
      </c>
      <c r="J122" s="18" t="s">
        <v>43</v>
      </c>
      <c r="K122" s="18" t="s">
        <v>41</v>
      </c>
      <c r="L122" s="6"/>
      <c r="M122" s="6"/>
      <c r="N122" s="6"/>
      <c r="O122" s="6"/>
      <c r="P122" s="6"/>
      <c r="Q122" s="6"/>
      <c r="R122" s="6"/>
      <c r="S122" s="6"/>
      <c r="T122" s="6"/>
      <c r="U122"/>
      <c r="V122"/>
      <c r="W122"/>
      <c r="X122"/>
    </row>
    <row r="123" spans="1:24" ht="33.75" x14ac:dyDescent="0.2">
      <c r="A123" s="18">
        <v>116</v>
      </c>
      <c r="B123" s="7" t="s">
        <v>300</v>
      </c>
      <c r="C123" s="5" t="s">
        <v>909</v>
      </c>
      <c r="D123" s="13">
        <v>142</v>
      </c>
      <c r="E123" s="7" t="s">
        <v>300</v>
      </c>
      <c r="F123" s="18" t="s">
        <v>677</v>
      </c>
      <c r="G123" s="42">
        <v>50</v>
      </c>
      <c r="H123" s="24">
        <f>195/1.12</f>
        <v>174.10714285714283</v>
      </c>
      <c r="I123" s="23">
        <f t="shared" si="2"/>
        <v>8705.3571428571413</v>
      </c>
      <c r="J123" s="18" t="s">
        <v>43</v>
      </c>
      <c r="K123" s="18" t="s">
        <v>41</v>
      </c>
      <c r="L123" s="6"/>
      <c r="M123" s="6"/>
      <c r="N123" s="6"/>
      <c r="O123" s="6"/>
      <c r="P123" s="6"/>
      <c r="Q123" s="6"/>
      <c r="R123" s="6"/>
      <c r="S123" s="6"/>
      <c r="T123" s="6"/>
      <c r="U123"/>
      <c r="V123"/>
      <c r="W123"/>
      <c r="X123"/>
    </row>
    <row r="124" spans="1:24" ht="33.75" x14ac:dyDescent="0.2">
      <c r="A124" s="18">
        <v>117</v>
      </c>
      <c r="B124" s="7" t="s">
        <v>301</v>
      </c>
      <c r="C124" s="5" t="s">
        <v>909</v>
      </c>
      <c r="D124" s="13">
        <v>142</v>
      </c>
      <c r="E124" s="7" t="s">
        <v>301</v>
      </c>
      <c r="F124" s="18" t="s">
        <v>677</v>
      </c>
      <c r="G124" s="42">
        <v>10</v>
      </c>
      <c r="H124" s="24">
        <f>1350/1.12</f>
        <v>1205.3571428571427</v>
      </c>
      <c r="I124" s="23">
        <f t="shared" si="2"/>
        <v>12053.571428571428</v>
      </c>
      <c r="J124" s="18" t="s">
        <v>43</v>
      </c>
      <c r="K124" s="18" t="s">
        <v>41</v>
      </c>
      <c r="L124" s="6"/>
      <c r="M124" s="6"/>
      <c r="N124" s="6"/>
      <c r="O124" s="6"/>
      <c r="P124" s="6"/>
      <c r="Q124" s="6"/>
      <c r="R124" s="6"/>
      <c r="S124" s="6"/>
      <c r="T124" s="6"/>
      <c r="U124"/>
      <c r="V124"/>
      <c r="W124"/>
      <c r="X124"/>
    </row>
    <row r="125" spans="1:24" ht="33.75" x14ac:dyDescent="0.2">
      <c r="A125" s="18">
        <v>118</v>
      </c>
      <c r="B125" s="7" t="s">
        <v>302</v>
      </c>
      <c r="C125" s="5" t="s">
        <v>909</v>
      </c>
      <c r="D125" s="13">
        <v>142</v>
      </c>
      <c r="E125" s="7" t="s">
        <v>302</v>
      </c>
      <c r="F125" s="18" t="s">
        <v>677</v>
      </c>
      <c r="G125" s="42">
        <v>10</v>
      </c>
      <c r="H125" s="24">
        <f>1450/1.12</f>
        <v>1294.6428571428571</v>
      </c>
      <c r="I125" s="23">
        <f t="shared" si="2"/>
        <v>12946.428571428571</v>
      </c>
      <c r="J125" s="18" t="s">
        <v>43</v>
      </c>
      <c r="K125" s="18" t="s">
        <v>41</v>
      </c>
      <c r="L125" s="6"/>
      <c r="M125" s="6"/>
      <c r="N125" s="6"/>
      <c r="O125" s="6"/>
      <c r="P125" s="6"/>
      <c r="Q125" s="6"/>
      <c r="R125" s="6"/>
      <c r="S125" s="6"/>
      <c r="T125" s="6"/>
      <c r="U125"/>
      <c r="V125"/>
      <c r="W125"/>
      <c r="X125"/>
    </row>
    <row r="126" spans="1:24" ht="33.75" x14ac:dyDescent="0.2">
      <c r="A126" s="18">
        <v>119</v>
      </c>
      <c r="B126" s="7" t="s">
        <v>303</v>
      </c>
      <c r="C126" s="5" t="s">
        <v>909</v>
      </c>
      <c r="D126" s="13">
        <v>142</v>
      </c>
      <c r="E126" s="7" t="s">
        <v>303</v>
      </c>
      <c r="F126" s="18" t="s">
        <v>677</v>
      </c>
      <c r="G126" s="42">
        <v>15</v>
      </c>
      <c r="H126" s="24">
        <f>1000/1.12</f>
        <v>892.85714285714278</v>
      </c>
      <c r="I126" s="23">
        <f t="shared" si="2"/>
        <v>13392.857142857141</v>
      </c>
      <c r="J126" s="18" t="s">
        <v>43</v>
      </c>
      <c r="K126" s="18" t="s">
        <v>41</v>
      </c>
      <c r="L126" s="6"/>
      <c r="M126" s="6"/>
      <c r="N126" s="6"/>
      <c r="O126" s="6"/>
      <c r="P126" s="6"/>
      <c r="Q126" s="6"/>
      <c r="R126" s="6"/>
      <c r="S126" s="6"/>
      <c r="T126" s="6"/>
      <c r="U126"/>
      <c r="V126"/>
      <c r="W126"/>
      <c r="X126"/>
    </row>
    <row r="127" spans="1:24" ht="33.75" x14ac:dyDescent="0.2">
      <c r="A127" s="18">
        <v>120</v>
      </c>
      <c r="B127" s="7" t="s">
        <v>304</v>
      </c>
      <c r="C127" s="5" t="s">
        <v>909</v>
      </c>
      <c r="D127" s="13">
        <v>142</v>
      </c>
      <c r="E127" s="7" t="s">
        <v>304</v>
      </c>
      <c r="F127" s="18" t="s">
        <v>677</v>
      </c>
      <c r="G127" s="42">
        <v>2</v>
      </c>
      <c r="H127" s="24">
        <f>855/1.12</f>
        <v>763.39285714285711</v>
      </c>
      <c r="I127" s="23">
        <f t="shared" si="2"/>
        <v>1526.7857142857142</v>
      </c>
      <c r="J127" s="18" t="s">
        <v>43</v>
      </c>
      <c r="K127" s="18" t="s">
        <v>41</v>
      </c>
      <c r="L127" s="6"/>
      <c r="M127" s="6"/>
      <c r="N127" s="6"/>
      <c r="O127" s="6"/>
      <c r="P127" s="6"/>
      <c r="Q127" s="6"/>
      <c r="R127" s="6"/>
      <c r="S127" s="6"/>
      <c r="T127" s="6"/>
      <c r="U127"/>
      <c r="V127"/>
      <c r="W127"/>
      <c r="X127"/>
    </row>
    <row r="128" spans="1:24" ht="33.75" x14ac:dyDescent="0.2">
      <c r="A128" s="18">
        <v>121</v>
      </c>
      <c r="B128" s="7" t="s">
        <v>305</v>
      </c>
      <c r="C128" s="5" t="s">
        <v>909</v>
      </c>
      <c r="D128" s="13">
        <v>142</v>
      </c>
      <c r="E128" s="7" t="s">
        <v>305</v>
      </c>
      <c r="F128" s="18" t="s">
        <v>48</v>
      </c>
      <c r="G128" s="42">
        <v>5</v>
      </c>
      <c r="H128" s="24">
        <f>1150/1.12</f>
        <v>1026.7857142857142</v>
      </c>
      <c r="I128" s="23">
        <f t="shared" si="2"/>
        <v>5133.9285714285706</v>
      </c>
      <c r="J128" s="18" t="s">
        <v>43</v>
      </c>
      <c r="K128" s="18" t="s">
        <v>41</v>
      </c>
      <c r="L128" s="6"/>
      <c r="M128" s="6"/>
      <c r="N128" s="6"/>
      <c r="O128" s="6"/>
      <c r="P128" s="6"/>
      <c r="Q128" s="6"/>
      <c r="R128" s="6"/>
      <c r="S128" s="6"/>
      <c r="T128" s="6"/>
      <c r="U128"/>
      <c r="V128"/>
      <c r="W128"/>
      <c r="X128"/>
    </row>
    <row r="129" spans="1:24" ht="33.75" x14ac:dyDescent="0.2">
      <c r="A129" s="18">
        <v>122</v>
      </c>
      <c r="B129" s="7" t="s">
        <v>306</v>
      </c>
      <c r="C129" s="5" t="s">
        <v>909</v>
      </c>
      <c r="D129" s="13">
        <v>142</v>
      </c>
      <c r="E129" s="7" t="s">
        <v>306</v>
      </c>
      <c r="F129" s="18" t="s">
        <v>677</v>
      </c>
      <c r="G129" s="42">
        <v>500</v>
      </c>
      <c r="H129" s="24">
        <f>20/1.12</f>
        <v>17.857142857142854</v>
      </c>
      <c r="I129" s="23">
        <f t="shared" si="2"/>
        <v>8928.5714285714275</v>
      </c>
      <c r="J129" s="18" t="s">
        <v>43</v>
      </c>
      <c r="K129" s="18" t="s">
        <v>41</v>
      </c>
      <c r="L129" s="6"/>
      <c r="M129" s="6"/>
      <c r="N129" s="6"/>
      <c r="O129" s="6"/>
      <c r="P129" s="6"/>
      <c r="Q129" s="6"/>
      <c r="R129" s="6"/>
      <c r="S129" s="6"/>
      <c r="T129" s="6"/>
      <c r="U129"/>
      <c r="V129"/>
      <c r="W129"/>
      <c r="X129"/>
    </row>
    <row r="130" spans="1:24" ht="33.75" x14ac:dyDescent="0.2">
      <c r="A130" s="18">
        <v>123</v>
      </c>
      <c r="B130" s="7" t="s">
        <v>307</v>
      </c>
      <c r="C130" s="5" t="s">
        <v>909</v>
      </c>
      <c r="D130" s="13">
        <v>142</v>
      </c>
      <c r="E130" s="7" t="s">
        <v>307</v>
      </c>
      <c r="F130" s="18" t="s">
        <v>677</v>
      </c>
      <c r="G130" s="42">
        <v>2</v>
      </c>
      <c r="H130" s="24">
        <f>645/1.12</f>
        <v>575.89285714285711</v>
      </c>
      <c r="I130" s="23">
        <f t="shared" si="2"/>
        <v>1151.7857142857142</v>
      </c>
      <c r="J130" s="18" t="s">
        <v>43</v>
      </c>
      <c r="K130" s="18" t="s">
        <v>41</v>
      </c>
      <c r="L130" s="6"/>
      <c r="M130" s="6"/>
      <c r="N130" s="6"/>
      <c r="O130" s="6"/>
      <c r="P130" s="6"/>
      <c r="Q130" s="6"/>
      <c r="R130" s="6"/>
      <c r="S130" s="6"/>
      <c r="T130" s="6"/>
      <c r="U130"/>
      <c r="V130"/>
      <c r="W130"/>
      <c r="X130"/>
    </row>
    <row r="131" spans="1:24" ht="33.75" x14ac:dyDescent="0.2">
      <c r="A131" s="18">
        <v>124</v>
      </c>
      <c r="B131" s="7" t="s">
        <v>308</v>
      </c>
      <c r="C131" s="5" t="s">
        <v>909</v>
      </c>
      <c r="D131" s="13">
        <v>142</v>
      </c>
      <c r="E131" s="7" t="s">
        <v>308</v>
      </c>
      <c r="F131" s="18" t="s">
        <v>677</v>
      </c>
      <c r="G131" s="42">
        <v>4</v>
      </c>
      <c r="H131" s="24">
        <v>3000</v>
      </c>
      <c r="I131" s="23">
        <f t="shared" si="2"/>
        <v>12000</v>
      </c>
      <c r="J131" s="18" t="s">
        <v>43</v>
      </c>
      <c r="K131" s="18" t="s">
        <v>41</v>
      </c>
      <c r="L131" s="6"/>
      <c r="M131" s="6"/>
      <c r="N131" s="6"/>
      <c r="O131" s="6"/>
      <c r="P131" s="6"/>
      <c r="Q131" s="6"/>
      <c r="R131" s="6"/>
      <c r="S131" s="6"/>
      <c r="T131" s="6"/>
      <c r="U131"/>
      <c r="V131"/>
      <c r="W131"/>
      <c r="X131"/>
    </row>
    <row r="132" spans="1:24" ht="33.75" x14ac:dyDescent="0.2">
      <c r="A132" s="18">
        <v>125</v>
      </c>
      <c r="B132" s="7" t="s">
        <v>309</v>
      </c>
      <c r="C132" s="5" t="s">
        <v>909</v>
      </c>
      <c r="D132" s="13">
        <v>142</v>
      </c>
      <c r="E132" s="7" t="s">
        <v>309</v>
      </c>
      <c r="F132" s="18" t="s">
        <v>677</v>
      </c>
      <c r="G132" s="42">
        <v>2</v>
      </c>
      <c r="H132" s="24">
        <f>5660/1.12</f>
        <v>5053.5714285714284</v>
      </c>
      <c r="I132" s="23">
        <f t="shared" si="2"/>
        <v>10107.142857142857</v>
      </c>
      <c r="J132" s="18" t="s">
        <v>43</v>
      </c>
      <c r="K132" s="18" t="s">
        <v>41</v>
      </c>
      <c r="L132" s="6"/>
      <c r="M132" s="6"/>
      <c r="N132" s="6"/>
      <c r="O132" s="6"/>
      <c r="P132" s="6"/>
      <c r="Q132" s="6"/>
      <c r="R132" s="6"/>
      <c r="S132" s="6"/>
      <c r="T132" s="6"/>
      <c r="U132"/>
      <c r="V132"/>
      <c r="W132"/>
      <c r="X132"/>
    </row>
    <row r="133" spans="1:24" ht="33.75" x14ac:dyDescent="0.2">
      <c r="A133" s="18">
        <v>126</v>
      </c>
      <c r="B133" s="7" t="s">
        <v>310</v>
      </c>
      <c r="C133" s="5" t="s">
        <v>909</v>
      </c>
      <c r="D133" s="13">
        <v>142</v>
      </c>
      <c r="E133" s="7" t="s">
        <v>310</v>
      </c>
      <c r="F133" s="18" t="s">
        <v>677</v>
      </c>
      <c r="G133" s="42">
        <v>2</v>
      </c>
      <c r="H133" s="24">
        <f>5700/1.12</f>
        <v>5089.2857142857138</v>
      </c>
      <c r="I133" s="23">
        <f t="shared" si="2"/>
        <v>10178.571428571428</v>
      </c>
      <c r="J133" s="18" t="s">
        <v>43</v>
      </c>
      <c r="K133" s="18" t="s">
        <v>41</v>
      </c>
      <c r="L133" s="6"/>
      <c r="M133" s="6"/>
      <c r="N133" s="6"/>
      <c r="O133" s="6"/>
      <c r="P133" s="6"/>
      <c r="Q133" s="6"/>
      <c r="R133" s="6"/>
      <c r="S133" s="6"/>
      <c r="T133" s="6"/>
      <c r="U133"/>
      <c r="V133"/>
      <c r="W133"/>
      <c r="X133"/>
    </row>
    <row r="134" spans="1:24" ht="33.75" x14ac:dyDescent="0.2">
      <c r="A134" s="18">
        <v>127</v>
      </c>
      <c r="B134" s="7" t="s">
        <v>311</v>
      </c>
      <c r="C134" s="5" t="s">
        <v>909</v>
      </c>
      <c r="D134" s="13">
        <v>142</v>
      </c>
      <c r="E134" s="7" t="s">
        <v>311</v>
      </c>
      <c r="F134" s="18" t="s">
        <v>924</v>
      </c>
      <c r="G134" s="42">
        <v>5</v>
      </c>
      <c r="H134" s="24">
        <v>3571.42</v>
      </c>
      <c r="I134" s="23">
        <f t="shared" si="2"/>
        <v>17857.099999999999</v>
      </c>
      <c r="J134" s="18" t="s">
        <v>43</v>
      </c>
      <c r="K134" s="18" t="s">
        <v>41</v>
      </c>
      <c r="L134" s="6"/>
      <c r="M134" s="6"/>
      <c r="N134" s="6"/>
      <c r="O134" s="6"/>
      <c r="P134" s="6"/>
      <c r="Q134" s="6"/>
      <c r="R134" s="6"/>
      <c r="S134" s="6"/>
      <c r="T134" s="6"/>
      <c r="U134"/>
      <c r="V134"/>
      <c r="W134"/>
      <c r="X134"/>
    </row>
    <row r="135" spans="1:24" ht="33.75" x14ac:dyDescent="0.2">
      <c r="A135" s="18">
        <v>128</v>
      </c>
      <c r="B135" s="7" t="s">
        <v>312</v>
      </c>
      <c r="C135" s="5" t="s">
        <v>909</v>
      </c>
      <c r="D135" s="13">
        <v>142</v>
      </c>
      <c r="E135" s="7" t="s">
        <v>312</v>
      </c>
      <c r="F135" s="18" t="s">
        <v>677</v>
      </c>
      <c r="G135" s="42">
        <v>5</v>
      </c>
      <c r="H135" s="24">
        <f>1225/1.12</f>
        <v>1093.75</v>
      </c>
      <c r="I135" s="23">
        <f t="shared" si="2"/>
        <v>5468.75</v>
      </c>
      <c r="J135" s="18" t="s">
        <v>43</v>
      </c>
      <c r="K135" s="18" t="s">
        <v>41</v>
      </c>
      <c r="L135" s="6"/>
      <c r="M135" s="6"/>
      <c r="N135" s="6"/>
      <c r="O135" s="6"/>
      <c r="P135" s="6"/>
      <c r="Q135" s="6"/>
      <c r="R135" s="6"/>
      <c r="S135" s="6"/>
      <c r="T135" s="6"/>
      <c r="U135"/>
      <c r="V135"/>
      <c r="W135"/>
      <c r="X135"/>
    </row>
    <row r="136" spans="1:24" ht="33.75" x14ac:dyDescent="0.2">
      <c r="A136" s="18">
        <v>129</v>
      </c>
      <c r="B136" s="7" t="s">
        <v>313</v>
      </c>
      <c r="C136" s="5" t="s">
        <v>909</v>
      </c>
      <c r="D136" s="13">
        <v>142</v>
      </c>
      <c r="E136" s="7" t="s">
        <v>313</v>
      </c>
      <c r="F136" s="18" t="s">
        <v>48</v>
      </c>
      <c r="G136" s="42">
        <v>6</v>
      </c>
      <c r="H136" s="24">
        <v>2678.57</v>
      </c>
      <c r="I136" s="23">
        <f t="shared" si="2"/>
        <v>16071.420000000002</v>
      </c>
      <c r="J136" s="18" t="s">
        <v>43</v>
      </c>
      <c r="K136" s="18" t="s">
        <v>41</v>
      </c>
      <c r="L136" s="6"/>
      <c r="M136" s="6"/>
      <c r="N136" s="6"/>
      <c r="O136" s="6"/>
      <c r="P136" s="6"/>
      <c r="Q136" s="6"/>
      <c r="R136" s="6"/>
      <c r="S136" s="6"/>
      <c r="T136" s="6"/>
      <c r="U136"/>
      <c r="V136"/>
      <c r="W136"/>
      <c r="X136"/>
    </row>
    <row r="137" spans="1:24" ht="33.75" x14ac:dyDescent="0.2">
      <c r="A137" s="18">
        <v>130</v>
      </c>
      <c r="B137" s="7" t="s">
        <v>314</v>
      </c>
      <c r="C137" s="5" t="s">
        <v>909</v>
      </c>
      <c r="D137" s="13">
        <v>142</v>
      </c>
      <c r="E137" s="7" t="s">
        <v>314</v>
      </c>
      <c r="F137" s="18" t="s">
        <v>677</v>
      </c>
      <c r="G137" s="42">
        <v>5</v>
      </c>
      <c r="H137" s="24">
        <v>6250</v>
      </c>
      <c r="I137" s="23">
        <f t="shared" si="2"/>
        <v>31250</v>
      </c>
      <c r="J137" s="18" t="s">
        <v>43</v>
      </c>
      <c r="K137" s="18" t="s">
        <v>41</v>
      </c>
      <c r="L137" s="6"/>
      <c r="M137" s="6"/>
      <c r="N137" s="6"/>
      <c r="O137" s="6"/>
      <c r="P137" s="6"/>
      <c r="Q137" s="6"/>
      <c r="R137" s="6"/>
      <c r="S137" s="6"/>
      <c r="T137" s="6"/>
      <c r="U137"/>
      <c r="V137"/>
      <c r="W137"/>
      <c r="X137"/>
    </row>
    <row r="138" spans="1:24" ht="33.75" x14ac:dyDescent="0.2">
      <c r="A138" s="18">
        <v>131</v>
      </c>
      <c r="B138" s="7" t="s">
        <v>315</v>
      </c>
      <c r="C138" s="5" t="s">
        <v>909</v>
      </c>
      <c r="D138" s="13">
        <v>142</v>
      </c>
      <c r="E138" s="7" t="s">
        <v>315</v>
      </c>
      <c r="F138" s="18" t="s">
        <v>677</v>
      </c>
      <c r="G138" s="42">
        <v>10</v>
      </c>
      <c r="H138" s="24">
        <f>240/1.12</f>
        <v>214.28571428571428</v>
      </c>
      <c r="I138" s="23">
        <f t="shared" si="2"/>
        <v>2142.8571428571427</v>
      </c>
      <c r="J138" s="18" t="s">
        <v>43</v>
      </c>
      <c r="K138" s="18" t="s">
        <v>41</v>
      </c>
      <c r="L138" s="6"/>
      <c r="M138" s="6"/>
      <c r="N138" s="6"/>
      <c r="O138" s="6"/>
      <c r="P138" s="6"/>
      <c r="Q138" s="6"/>
      <c r="R138" s="6"/>
      <c r="S138" s="6"/>
      <c r="T138" s="6"/>
      <c r="U138"/>
      <c r="V138"/>
      <c r="W138"/>
      <c r="X138"/>
    </row>
    <row r="139" spans="1:24" ht="33.75" x14ac:dyDescent="0.2">
      <c r="A139" s="18">
        <v>132</v>
      </c>
      <c r="B139" s="7" t="s">
        <v>316</v>
      </c>
      <c r="C139" s="5" t="s">
        <v>909</v>
      </c>
      <c r="D139" s="13">
        <v>142</v>
      </c>
      <c r="E139" s="7" t="s">
        <v>316</v>
      </c>
      <c r="F139" s="18" t="s">
        <v>678</v>
      </c>
      <c r="G139" s="42">
        <v>10</v>
      </c>
      <c r="H139" s="24">
        <f>1600/1.12</f>
        <v>1428.5714285714284</v>
      </c>
      <c r="I139" s="23">
        <f t="shared" si="2"/>
        <v>14285.714285714284</v>
      </c>
      <c r="J139" s="18" t="s">
        <v>43</v>
      </c>
      <c r="K139" s="18" t="s">
        <v>41</v>
      </c>
      <c r="L139" s="6"/>
      <c r="M139" s="6"/>
      <c r="N139" s="6"/>
      <c r="O139" s="6"/>
      <c r="P139" s="6"/>
      <c r="Q139" s="6"/>
      <c r="R139" s="6"/>
      <c r="S139" s="6"/>
      <c r="T139" s="6"/>
      <c r="U139"/>
      <c r="V139"/>
      <c r="W139"/>
      <c r="X139"/>
    </row>
    <row r="140" spans="1:24" ht="33.75" x14ac:dyDescent="0.2">
      <c r="A140" s="18">
        <v>133</v>
      </c>
      <c r="B140" s="7" t="s">
        <v>317</v>
      </c>
      <c r="C140" s="5" t="s">
        <v>909</v>
      </c>
      <c r="D140" s="13">
        <v>142</v>
      </c>
      <c r="E140" s="7" t="s">
        <v>317</v>
      </c>
      <c r="F140" s="18" t="s">
        <v>677</v>
      </c>
      <c r="G140" s="42">
        <v>100</v>
      </c>
      <c r="H140" s="24">
        <f>330/1.12</f>
        <v>294.64285714285711</v>
      </c>
      <c r="I140" s="23">
        <f t="shared" si="2"/>
        <v>29464.28571428571</v>
      </c>
      <c r="J140" s="18" t="s">
        <v>43</v>
      </c>
      <c r="K140" s="18" t="s">
        <v>41</v>
      </c>
      <c r="L140" s="6"/>
      <c r="M140" s="6"/>
      <c r="N140" s="6"/>
      <c r="O140" s="6"/>
      <c r="P140" s="6"/>
      <c r="Q140" s="6"/>
      <c r="R140" s="6"/>
      <c r="S140" s="6"/>
      <c r="T140" s="6"/>
      <c r="U140"/>
      <c r="V140"/>
      <c r="W140"/>
      <c r="X140"/>
    </row>
    <row r="141" spans="1:24" ht="33.75" x14ac:dyDescent="0.2">
      <c r="A141" s="18">
        <v>134</v>
      </c>
      <c r="B141" s="7" t="s">
        <v>318</v>
      </c>
      <c r="C141" s="5" t="s">
        <v>909</v>
      </c>
      <c r="D141" s="13">
        <v>142</v>
      </c>
      <c r="E141" s="7" t="s">
        <v>318</v>
      </c>
      <c r="F141" s="18" t="s">
        <v>18</v>
      </c>
      <c r="G141" s="42">
        <v>25</v>
      </c>
      <c r="H141" s="24">
        <v>60</v>
      </c>
      <c r="I141" s="23">
        <f t="shared" si="2"/>
        <v>1500</v>
      </c>
      <c r="J141" s="18" t="s">
        <v>43</v>
      </c>
      <c r="K141" s="18" t="s">
        <v>41</v>
      </c>
      <c r="L141" s="6"/>
      <c r="M141" s="6"/>
      <c r="N141" s="6"/>
      <c r="O141" s="6"/>
      <c r="P141" s="6"/>
      <c r="Q141" s="6"/>
      <c r="R141" s="6"/>
      <c r="S141" s="6"/>
      <c r="T141" s="6"/>
      <c r="U141"/>
      <c r="V141"/>
      <c r="W141"/>
      <c r="X141"/>
    </row>
    <row r="142" spans="1:24" ht="33.75" x14ac:dyDescent="0.2">
      <c r="A142" s="18">
        <v>135</v>
      </c>
      <c r="B142" s="7" t="s">
        <v>319</v>
      </c>
      <c r="C142" s="5" t="s">
        <v>909</v>
      </c>
      <c r="D142" s="13">
        <v>142</v>
      </c>
      <c r="E142" s="7" t="s">
        <v>319</v>
      </c>
      <c r="F142" s="18" t="s">
        <v>18</v>
      </c>
      <c r="G142" s="42">
        <v>500</v>
      </c>
      <c r="H142" s="24">
        <v>92</v>
      </c>
      <c r="I142" s="23">
        <f t="shared" si="2"/>
        <v>46000</v>
      </c>
      <c r="J142" s="18" t="s">
        <v>43</v>
      </c>
      <c r="K142" s="18" t="s">
        <v>41</v>
      </c>
      <c r="L142" s="6"/>
      <c r="M142" s="6"/>
      <c r="N142" s="6"/>
      <c r="O142" s="6"/>
      <c r="P142" s="6"/>
      <c r="Q142" s="6"/>
      <c r="R142" s="6"/>
      <c r="S142" s="6"/>
      <c r="T142" s="6"/>
      <c r="U142"/>
      <c r="V142"/>
      <c r="W142"/>
      <c r="X142"/>
    </row>
    <row r="143" spans="1:24" ht="33.75" x14ac:dyDescent="0.2">
      <c r="A143" s="18">
        <v>136</v>
      </c>
      <c r="B143" s="7" t="s">
        <v>320</v>
      </c>
      <c r="C143" s="5" t="s">
        <v>909</v>
      </c>
      <c r="D143" s="13">
        <v>142</v>
      </c>
      <c r="E143" s="7" t="s">
        <v>320</v>
      </c>
      <c r="F143" s="18" t="s">
        <v>18</v>
      </c>
      <c r="G143" s="42">
        <v>920</v>
      </c>
      <c r="H143" s="24">
        <v>70</v>
      </c>
      <c r="I143" s="23">
        <f t="shared" ref="I143:I206" si="3">G143*H143</f>
        <v>64400</v>
      </c>
      <c r="J143" s="18" t="s">
        <v>43</v>
      </c>
      <c r="K143" s="18" t="s">
        <v>41</v>
      </c>
      <c r="L143" s="6"/>
      <c r="M143" s="6"/>
      <c r="N143" s="6"/>
      <c r="O143" s="6"/>
      <c r="P143" s="6"/>
      <c r="Q143" s="6"/>
      <c r="R143" s="6"/>
      <c r="S143" s="6"/>
      <c r="T143" s="6"/>
      <c r="U143"/>
      <c r="V143"/>
      <c r="W143"/>
      <c r="X143"/>
    </row>
    <row r="144" spans="1:24" ht="33.75" x14ac:dyDescent="0.2">
      <c r="A144" s="18">
        <v>137</v>
      </c>
      <c r="B144" s="7" t="s">
        <v>321</v>
      </c>
      <c r="C144" s="5" t="s">
        <v>909</v>
      </c>
      <c r="D144" s="13">
        <v>142</v>
      </c>
      <c r="E144" s="7" t="s">
        <v>321</v>
      </c>
      <c r="F144" s="18" t="s">
        <v>18</v>
      </c>
      <c r="G144" s="42">
        <v>600</v>
      </c>
      <c r="H144" s="24">
        <v>60</v>
      </c>
      <c r="I144" s="23">
        <f t="shared" si="3"/>
        <v>36000</v>
      </c>
      <c r="J144" s="18" t="s">
        <v>43</v>
      </c>
      <c r="K144" s="18" t="s">
        <v>41</v>
      </c>
      <c r="L144" s="6"/>
      <c r="M144" s="6"/>
      <c r="N144" s="6"/>
      <c r="O144" s="6"/>
      <c r="P144" s="6"/>
      <c r="Q144" s="6"/>
      <c r="R144" s="6"/>
      <c r="S144" s="6"/>
      <c r="T144" s="6"/>
      <c r="U144"/>
      <c r="V144"/>
      <c r="W144"/>
      <c r="X144"/>
    </row>
    <row r="145" spans="1:24" ht="33.75" x14ac:dyDescent="0.2">
      <c r="A145" s="18">
        <v>138</v>
      </c>
      <c r="B145" s="7" t="s">
        <v>322</v>
      </c>
      <c r="C145" s="5" t="s">
        <v>909</v>
      </c>
      <c r="D145" s="13">
        <v>142</v>
      </c>
      <c r="E145" s="7" t="s">
        <v>322</v>
      </c>
      <c r="F145" s="18" t="s">
        <v>45</v>
      </c>
      <c r="G145" s="42">
        <v>400</v>
      </c>
      <c r="H145" s="24">
        <f>539.29/1.12</f>
        <v>481.5089285714285</v>
      </c>
      <c r="I145" s="23">
        <f t="shared" si="3"/>
        <v>192603.57142857139</v>
      </c>
      <c r="J145" s="18" t="s">
        <v>43</v>
      </c>
      <c r="K145" s="18" t="s">
        <v>41</v>
      </c>
      <c r="L145" s="6"/>
      <c r="M145" s="6"/>
      <c r="N145" s="6"/>
      <c r="O145" s="6"/>
      <c r="P145" s="6"/>
      <c r="Q145" s="6"/>
      <c r="R145" s="6"/>
      <c r="S145" s="6"/>
      <c r="T145" s="6"/>
      <c r="U145"/>
      <c r="V145"/>
      <c r="W145"/>
      <c r="X145"/>
    </row>
    <row r="146" spans="1:24" ht="33.75" x14ac:dyDescent="0.2">
      <c r="A146" s="18">
        <v>139</v>
      </c>
      <c r="B146" s="7" t="s">
        <v>60</v>
      </c>
      <c r="C146" s="5" t="s">
        <v>909</v>
      </c>
      <c r="D146" s="13">
        <v>142</v>
      </c>
      <c r="E146" s="7" t="s">
        <v>709</v>
      </c>
      <c r="F146" s="18" t="s">
        <v>20</v>
      </c>
      <c r="G146" s="42">
        <v>60</v>
      </c>
      <c r="H146" s="24">
        <v>870.52</v>
      </c>
      <c r="I146" s="23">
        <f t="shared" si="3"/>
        <v>52231.199999999997</v>
      </c>
      <c r="J146" s="18" t="s">
        <v>43</v>
      </c>
      <c r="K146" s="18" t="s">
        <v>41</v>
      </c>
      <c r="L146" s="6"/>
      <c r="M146" s="6"/>
      <c r="N146" s="6"/>
      <c r="O146" s="6"/>
      <c r="P146" s="6"/>
      <c r="Q146" s="6"/>
      <c r="R146" s="6"/>
      <c r="S146" s="6"/>
      <c r="T146" s="6"/>
      <c r="U146"/>
      <c r="V146"/>
      <c r="W146"/>
      <c r="X146"/>
    </row>
    <row r="147" spans="1:24" ht="33.75" x14ac:dyDescent="0.2">
      <c r="A147" s="18">
        <v>140</v>
      </c>
      <c r="B147" s="7" t="s">
        <v>323</v>
      </c>
      <c r="C147" s="5" t="s">
        <v>909</v>
      </c>
      <c r="D147" s="13">
        <v>142</v>
      </c>
      <c r="E147" s="7" t="s">
        <v>710</v>
      </c>
      <c r="F147" s="18" t="s">
        <v>18</v>
      </c>
      <c r="G147" s="42">
        <v>100</v>
      </c>
      <c r="H147" s="24">
        <v>11.66</v>
      </c>
      <c r="I147" s="23">
        <f t="shared" si="3"/>
        <v>1166</v>
      </c>
      <c r="J147" s="18" t="s">
        <v>43</v>
      </c>
      <c r="K147" s="18" t="s">
        <v>41</v>
      </c>
      <c r="L147" s="6"/>
      <c r="M147" s="6"/>
      <c r="N147" s="6"/>
      <c r="O147" s="6"/>
      <c r="P147" s="6"/>
      <c r="Q147" s="6"/>
      <c r="R147" s="6"/>
      <c r="S147" s="6"/>
      <c r="T147" s="6"/>
      <c r="U147"/>
      <c r="V147"/>
      <c r="W147"/>
      <c r="X147"/>
    </row>
    <row r="148" spans="1:24" ht="33.75" x14ac:dyDescent="0.2">
      <c r="A148" s="18">
        <v>141</v>
      </c>
      <c r="B148" s="7" t="s">
        <v>324</v>
      </c>
      <c r="C148" s="5" t="s">
        <v>909</v>
      </c>
      <c r="D148" s="13">
        <v>142</v>
      </c>
      <c r="E148" s="7" t="s">
        <v>711</v>
      </c>
      <c r="F148" s="18" t="s">
        <v>20</v>
      </c>
      <c r="G148" s="42">
        <v>300</v>
      </c>
      <c r="H148" s="24">
        <v>30.44</v>
      </c>
      <c r="I148" s="23">
        <f t="shared" si="3"/>
        <v>9132</v>
      </c>
      <c r="J148" s="18" t="s">
        <v>43</v>
      </c>
      <c r="K148" s="18" t="s">
        <v>41</v>
      </c>
      <c r="L148" s="6"/>
      <c r="M148" s="6"/>
      <c r="N148" s="6"/>
      <c r="O148" s="6"/>
      <c r="P148" s="6"/>
      <c r="Q148" s="6"/>
      <c r="R148" s="6"/>
      <c r="S148" s="6"/>
      <c r="T148" s="6"/>
      <c r="U148"/>
      <c r="V148"/>
      <c r="W148"/>
      <c r="X148"/>
    </row>
    <row r="149" spans="1:24" ht="46.5" customHeight="1" x14ac:dyDescent="0.2">
      <c r="A149" s="18">
        <v>142</v>
      </c>
      <c r="B149" s="7" t="s">
        <v>325</v>
      </c>
      <c r="C149" s="5" t="s">
        <v>909</v>
      </c>
      <c r="D149" s="13">
        <v>142</v>
      </c>
      <c r="E149" s="7" t="s">
        <v>712</v>
      </c>
      <c r="F149" s="18" t="s">
        <v>20</v>
      </c>
      <c r="G149" s="42">
        <v>100</v>
      </c>
      <c r="H149" s="24">
        <v>288.67</v>
      </c>
      <c r="I149" s="23">
        <f t="shared" si="3"/>
        <v>28867</v>
      </c>
      <c r="J149" s="18" t="s">
        <v>43</v>
      </c>
      <c r="K149" s="18" t="s">
        <v>41</v>
      </c>
      <c r="L149" s="6"/>
      <c r="M149" s="6"/>
      <c r="N149" s="6"/>
      <c r="O149" s="6"/>
      <c r="P149" s="6"/>
      <c r="Q149" s="6"/>
      <c r="R149" s="6"/>
      <c r="S149" s="6"/>
      <c r="T149" s="6"/>
      <c r="U149"/>
      <c r="V149"/>
      <c r="W149"/>
      <c r="X149"/>
    </row>
    <row r="150" spans="1:24" ht="45" x14ac:dyDescent="0.2">
      <c r="A150" s="18">
        <v>143</v>
      </c>
      <c r="B150" s="7" t="s">
        <v>326</v>
      </c>
      <c r="C150" s="5" t="s">
        <v>909</v>
      </c>
      <c r="D150" s="13">
        <v>142</v>
      </c>
      <c r="E150" s="7" t="s">
        <v>713</v>
      </c>
      <c r="F150" s="18" t="s">
        <v>20</v>
      </c>
      <c r="G150" s="42">
        <v>100</v>
      </c>
      <c r="H150" s="24">
        <v>2223.6999999999998</v>
      </c>
      <c r="I150" s="23">
        <f t="shared" si="3"/>
        <v>222369.99999999997</v>
      </c>
      <c r="J150" s="18" t="s">
        <v>43</v>
      </c>
      <c r="K150" s="18" t="s">
        <v>41</v>
      </c>
      <c r="L150" s="6"/>
      <c r="M150" s="6"/>
      <c r="N150" s="6"/>
      <c r="O150" s="6"/>
      <c r="P150" s="6"/>
      <c r="Q150" s="6"/>
      <c r="R150" s="6"/>
      <c r="S150" s="6"/>
      <c r="T150" s="6"/>
      <c r="U150"/>
      <c r="V150"/>
      <c r="W150"/>
      <c r="X150"/>
    </row>
    <row r="151" spans="1:24" ht="33.75" x14ac:dyDescent="0.2">
      <c r="A151" s="18">
        <v>144</v>
      </c>
      <c r="B151" s="7" t="s">
        <v>55</v>
      </c>
      <c r="C151" s="5" t="s">
        <v>909</v>
      </c>
      <c r="D151" s="13">
        <v>142</v>
      </c>
      <c r="E151" s="7" t="s">
        <v>714</v>
      </c>
      <c r="F151" s="18" t="s">
        <v>679</v>
      </c>
      <c r="G151" s="42">
        <v>1200</v>
      </c>
      <c r="H151" s="24">
        <v>412.48</v>
      </c>
      <c r="I151" s="23">
        <f t="shared" si="3"/>
        <v>494976</v>
      </c>
      <c r="J151" s="18" t="s">
        <v>43</v>
      </c>
      <c r="K151" s="18" t="s">
        <v>41</v>
      </c>
      <c r="L151" s="6"/>
      <c r="M151" s="6"/>
      <c r="N151" s="6"/>
      <c r="O151" s="6"/>
      <c r="P151" s="6"/>
      <c r="Q151" s="6"/>
      <c r="R151" s="6"/>
      <c r="S151" s="6"/>
      <c r="T151" s="6"/>
      <c r="U151"/>
      <c r="V151"/>
      <c r="W151"/>
      <c r="X151"/>
    </row>
    <row r="152" spans="1:24" ht="33.75" x14ac:dyDescent="0.2">
      <c r="A152" s="18">
        <v>145</v>
      </c>
      <c r="B152" s="7" t="s">
        <v>55</v>
      </c>
      <c r="C152" s="5" t="s">
        <v>909</v>
      </c>
      <c r="D152" s="13">
        <v>142</v>
      </c>
      <c r="E152" s="7" t="s">
        <v>715</v>
      </c>
      <c r="F152" s="18" t="s">
        <v>20</v>
      </c>
      <c r="G152" s="18">
        <v>100</v>
      </c>
      <c r="H152" s="24">
        <f>2546.29/1.12</f>
        <v>2273.4732142857142</v>
      </c>
      <c r="I152" s="23">
        <f t="shared" si="3"/>
        <v>227347.32142857142</v>
      </c>
      <c r="J152" s="18" t="s">
        <v>43</v>
      </c>
      <c r="K152" s="18" t="s">
        <v>41</v>
      </c>
      <c r="L152" s="6"/>
      <c r="M152" s="6"/>
      <c r="N152" s="6"/>
      <c r="O152" s="6"/>
      <c r="P152" s="6"/>
      <c r="Q152" s="6"/>
      <c r="R152" s="6"/>
      <c r="S152" s="6"/>
      <c r="T152" s="6"/>
      <c r="U152"/>
      <c r="V152"/>
      <c r="W152"/>
      <c r="X152"/>
    </row>
    <row r="153" spans="1:24" ht="33.75" x14ac:dyDescent="0.2">
      <c r="A153" s="18">
        <v>146</v>
      </c>
      <c r="B153" s="7" t="s">
        <v>327</v>
      </c>
      <c r="C153" s="5" t="s">
        <v>909</v>
      </c>
      <c r="D153" s="13">
        <v>142</v>
      </c>
      <c r="E153" s="19" t="s">
        <v>716</v>
      </c>
      <c r="F153" s="18" t="s">
        <v>18</v>
      </c>
      <c r="G153" s="18">
        <v>100</v>
      </c>
      <c r="H153" s="24">
        <f>112.42/1.12</f>
        <v>100.37499999999999</v>
      </c>
      <c r="I153" s="23">
        <f t="shared" si="3"/>
        <v>10037.499999999998</v>
      </c>
      <c r="J153" s="18" t="s">
        <v>43</v>
      </c>
      <c r="K153" s="18" t="s">
        <v>41</v>
      </c>
      <c r="L153" s="6"/>
      <c r="M153" s="6"/>
      <c r="N153" s="6"/>
      <c r="O153" s="6"/>
      <c r="P153" s="6"/>
      <c r="Q153" s="6"/>
      <c r="R153" s="6"/>
      <c r="S153" s="6"/>
      <c r="T153" s="6"/>
      <c r="U153"/>
      <c r="V153"/>
      <c r="W153"/>
      <c r="X153"/>
    </row>
    <row r="154" spans="1:24" ht="33.75" x14ac:dyDescent="0.2">
      <c r="A154" s="18">
        <v>147</v>
      </c>
      <c r="B154" s="7" t="s">
        <v>328</v>
      </c>
      <c r="C154" s="5" t="s">
        <v>909</v>
      </c>
      <c r="D154" s="13">
        <v>142</v>
      </c>
      <c r="E154" s="7" t="s">
        <v>328</v>
      </c>
      <c r="F154" s="18" t="s">
        <v>20</v>
      </c>
      <c r="G154" s="18">
        <v>300</v>
      </c>
      <c r="H154" s="24">
        <v>6748.48</v>
      </c>
      <c r="I154" s="23">
        <f t="shared" si="3"/>
        <v>2024543.9999999998</v>
      </c>
      <c r="J154" s="18" t="s">
        <v>43</v>
      </c>
      <c r="K154" s="18" t="s">
        <v>41</v>
      </c>
      <c r="L154" s="6"/>
      <c r="M154" s="6"/>
      <c r="N154" s="6"/>
      <c r="O154" s="6"/>
      <c r="P154" s="6"/>
      <c r="Q154" s="6"/>
      <c r="R154" s="6"/>
      <c r="S154" s="6"/>
      <c r="T154" s="6"/>
      <c r="U154"/>
      <c r="V154"/>
      <c r="W154"/>
      <c r="X154"/>
    </row>
    <row r="155" spans="1:24" ht="33.75" x14ac:dyDescent="0.2">
      <c r="A155" s="18">
        <v>148</v>
      </c>
      <c r="B155" s="7" t="s">
        <v>329</v>
      </c>
      <c r="C155" s="5" t="s">
        <v>909</v>
      </c>
      <c r="D155" s="13">
        <v>142</v>
      </c>
      <c r="E155" s="7" t="s">
        <v>717</v>
      </c>
      <c r="F155" s="18" t="s">
        <v>17</v>
      </c>
      <c r="G155" s="18">
        <v>50</v>
      </c>
      <c r="H155" s="24">
        <v>3998.72</v>
      </c>
      <c r="I155" s="23">
        <f t="shared" si="3"/>
        <v>199936</v>
      </c>
      <c r="J155" s="18" t="s">
        <v>43</v>
      </c>
      <c r="K155" s="18" t="s">
        <v>41</v>
      </c>
      <c r="L155" s="6"/>
      <c r="M155" s="6"/>
      <c r="N155" s="6"/>
      <c r="O155" s="6"/>
      <c r="P155" s="6"/>
      <c r="Q155" s="6"/>
      <c r="R155" s="6"/>
      <c r="S155" s="6"/>
      <c r="T155" s="6"/>
      <c r="U155"/>
      <c r="V155"/>
      <c r="W155"/>
      <c r="X155"/>
    </row>
    <row r="156" spans="1:24" ht="33.75" x14ac:dyDescent="0.2">
      <c r="A156" s="18">
        <v>149</v>
      </c>
      <c r="B156" s="7" t="s">
        <v>56</v>
      </c>
      <c r="C156" s="5" t="s">
        <v>909</v>
      </c>
      <c r="D156" s="13">
        <v>142</v>
      </c>
      <c r="E156" s="7" t="s">
        <v>718</v>
      </c>
      <c r="F156" s="18" t="s">
        <v>18</v>
      </c>
      <c r="G156" s="18">
        <v>3000</v>
      </c>
      <c r="H156" s="24">
        <v>117.6</v>
      </c>
      <c r="I156" s="23">
        <f t="shared" si="3"/>
        <v>352800</v>
      </c>
      <c r="J156" s="18" t="s">
        <v>43</v>
      </c>
      <c r="K156" s="18" t="s">
        <v>41</v>
      </c>
      <c r="L156" s="6"/>
      <c r="M156" s="6"/>
      <c r="N156" s="6"/>
      <c r="O156" s="6"/>
      <c r="P156" s="6"/>
      <c r="Q156" s="6"/>
      <c r="R156" s="6"/>
      <c r="S156" s="6"/>
      <c r="T156" s="6"/>
      <c r="U156"/>
      <c r="V156"/>
      <c r="W156"/>
      <c r="X156"/>
    </row>
    <row r="157" spans="1:24" ht="33.75" x14ac:dyDescent="0.2">
      <c r="A157" s="18">
        <v>150</v>
      </c>
      <c r="B157" s="7" t="s">
        <v>57</v>
      </c>
      <c r="C157" s="5" t="s">
        <v>909</v>
      </c>
      <c r="D157" s="13">
        <v>142</v>
      </c>
      <c r="E157" s="7" t="s">
        <v>719</v>
      </c>
      <c r="F157" s="18" t="s">
        <v>17</v>
      </c>
      <c r="G157" s="18">
        <v>1000</v>
      </c>
      <c r="H157" s="24">
        <v>241.99</v>
      </c>
      <c r="I157" s="23">
        <f t="shared" si="3"/>
        <v>241990</v>
      </c>
      <c r="J157" s="18" t="s">
        <v>43</v>
      </c>
      <c r="K157" s="18" t="s">
        <v>41</v>
      </c>
      <c r="L157" s="6"/>
      <c r="M157" s="6"/>
      <c r="N157" s="6"/>
      <c r="O157" s="6"/>
      <c r="P157" s="6"/>
      <c r="Q157" s="6"/>
      <c r="R157" s="6"/>
      <c r="S157" s="6"/>
      <c r="T157" s="6"/>
      <c r="U157"/>
      <c r="V157"/>
      <c r="W157"/>
      <c r="X157"/>
    </row>
    <row r="158" spans="1:24" ht="33.75" x14ac:dyDescent="0.2">
      <c r="A158" s="18">
        <v>151</v>
      </c>
      <c r="B158" s="7" t="s">
        <v>330</v>
      </c>
      <c r="C158" s="5" t="s">
        <v>909</v>
      </c>
      <c r="D158" s="13">
        <v>142</v>
      </c>
      <c r="E158" s="7" t="s">
        <v>720</v>
      </c>
      <c r="F158" s="18" t="s">
        <v>18</v>
      </c>
      <c r="G158" s="18">
        <v>2000</v>
      </c>
      <c r="H158" s="24">
        <v>17.52</v>
      </c>
      <c r="I158" s="23">
        <f t="shared" si="3"/>
        <v>35040</v>
      </c>
      <c r="J158" s="18" t="s">
        <v>43</v>
      </c>
      <c r="K158" s="18" t="s">
        <v>41</v>
      </c>
      <c r="L158" s="6"/>
      <c r="M158" s="6"/>
      <c r="N158" s="6"/>
      <c r="O158" s="6"/>
      <c r="P158" s="6"/>
      <c r="Q158" s="6"/>
      <c r="R158" s="6"/>
      <c r="S158" s="6"/>
      <c r="T158" s="6"/>
      <c r="U158"/>
      <c r="V158"/>
      <c r="W158"/>
      <c r="X158"/>
    </row>
    <row r="159" spans="1:24" ht="33.75" x14ac:dyDescent="0.2">
      <c r="A159" s="18">
        <v>152</v>
      </c>
      <c r="B159" s="7" t="s">
        <v>58</v>
      </c>
      <c r="C159" s="5" t="s">
        <v>909</v>
      </c>
      <c r="D159" s="13">
        <v>142</v>
      </c>
      <c r="E159" s="7" t="s">
        <v>721</v>
      </c>
      <c r="F159" s="18" t="s">
        <v>17</v>
      </c>
      <c r="G159" s="18">
        <v>2000</v>
      </c>
      <c r="H159" s="24">
        <f>591.64/1.12</f>
        <v>528.24999999999989</v>
      </c>
      <c r="I159" s="23">
        <f t="shared" si="3"/>
        <v>1056499.9999999998</v>
      </c>
      <c r="J159" s="18" t="s">
        <v>43</v>
      </c>
      <c r="K159" s="18" t="s">
        <v>41</v>
      </c>
      <c r="L159" s="6"/>
      <c r="M159" s="6"/>
      <c r="N159" s="6"/>
      <c r="O159" s="6"/>
      <c r="P159" s="6"/>
      <c r="Q159" s="6"/>
      <c r="R159" s="6"/>
      <c r="S159" s="6"/>
      <c r="T159" s="6"/>
      <c r="U159"/>
      <c r="V159"/>
      <c r="W159"/>
      <c r="X159"/>
    </row>
    <row r="160" spans="1:24" ht="33.75" x14ac:dyDescent="0.2">
      <c r="A160" s="18">
        <v>153</v>
      </c>
      <c r="B160" s="7" t="s">
        <v>59</v>
      </c>
      <c r="C160" s="5" t="s">
        <v>909</v>
      </c>
      <c r="D160" s="13">
        <v>142</v>
      </c>
      <c r="E160" s="7" t="s">
        <v>722</v>
      </c>
      <c r="F160" s="18" t="s">
        <v>18</v>
      </c>
      <c r="G160" s="18">
        <v>15000</v>
      </c>
      <c r="H160" s="24">
        <f>11.52/1.12</f>
        <v>10.285714285714285</v>
      </c>
      <c r="I160" s="23">
        <f t="shared" si="3"/>
        <v>154285.71428571426</v>
      </c>
      <c r="J160" s="18" t="s">
        <v>43</v>
      </c>
      <c r="K160" s="18" t="s">
        <v>41</v>
      </c>
      <c r="L160" s="6"/>
      <c r="M160" s="6"/>
      <c r="N160" s="6"/>
      <c r="O160" s="6"/>
      <c r="P160" s="6"/>
      <c r="Q160" s="6"/>
      <c r="R160" s="6"/>
      <c r="S160" s="6"/>
      <c r="T160" s="6"/>
      <c r="U160"/>
      <c r="V160"/>
      <c r="W160"/>
      <c r="X160"/>
    </row>
    <row r="161" spans="1:24" ht="33.75" x14ac:dyDescent="0.2">
      <c r="A161" s="18">
        <v>154</v>
      </c>
      <c r="B161" s="7" t="s">
        <v>60</v>
      </c>
      <c r="C161" s="5" t="s">
        <v>909</v>
      </c>
      <c r="D161" s="13">
        <v>142</v>
      </c>
      <c r="E161" s="7" t="s">
        <v>723</v>
      </c>
      <c r="F161" s="18" t="s">
        <v>16</v>
      </c>
      <c r="G161" s="18">
        <v>400</v>
      </c>
      <c r="H161" s="24">
        <v>33.369999999999997</v>
      </c>
      <c r="I161" s="23">
        <f t="shared" si="3"/>
        <v>13347.999999999998</v>
      </c>
      <c r="J161" s="18" t="s">
        <v>43</v>
      </c>
      <c r="K161" s="18" t="s">
        <v>41</v>
      </c>
      <c r="L161" s="6"/>
      <c r="M161" s="6"/>
      <c r="N161" s="6"/>
      <c r="O161" s="6"/>
      <c r="P161" s="6"/>
      <c r="Q161" s="6"/>
      <c r="R161" s="6"/>
      <c r="S161" s="6"/>
      <c r="T161" s="6"/>
      <c r="U161"/>
      <c r="V161"/>
      <c r="W161"/>
      <c r="X161"/>
    </row>
    <row r="162" spans="1:24" ht="33.75" x14ac:dyDescent="0.2">
      <c r="A162" s="18">
        <v>155</v>
      </c>
      <c r="B162" s="7" t="s">
        <v>61</v>
      </c>
      <c r="C162" s="5" t="s">
        <v>909</v>
      </c>
      <c r="D162" s="13">
        <v>142</v>
      </c>
      <c r="E162" s="7" t="s">
        <v>724</v>
      </c>
      <c r="F162" s="18" t="s">
        <v>20</v>
      </c>
      <c r="G162" s="18">
        <v>200</v>
      </c>
      <c r="H162" s="24">
        <v>3438.3</v>
      </c>
      <c r="I162" s="23">
        <f t="shared" si="3"/>
        <v>687660</v>
      </c>
      <c r="J162" s="18" t="s">
        <v>43</v>
      </c>
      <c r="K162" s="18" t="s">
        <v>41</v>
      </c>
      <c r="L162" s="6"/>
      <c r="M162" s="6"/>
      <c r="N162" s="6"/>
      <c r="O162" s="6"/>
      <c r="P162" s="6"/>
      <c r="Q162" s="6"/>
      <c r="R162" s="6"/>
      <c r="S162" s="6"/>
      <c r="T162" s="6"/>
      <c r="U162"/>
      <c r="V162"/>
      <c r="W162"/>
      <c r="X162"/>
    </row>
    <row r="163" spans="1:24" ht="33.75" x14ac:dyDescent="0.2">
      <c r="A163" s="18">
        <v>156</v>
      </c>
      <c r="B163" s="7" t="s">
        <v>61</v>
      </c>
      <c r="C163" s="5" t="s">
        <v>909</v>
      </c>
      <c r="D163" s="13">
        <v>142</v>
      </c>
      <c r="E163" s="7" t="s">
        <v>725</v>
      </c>
      <c r="F163" s="18" t="s">
        <v>17</v>
      </c>
      <c r="G163" s="18">
        <v>500</v>
      </c>
      <c r="H163" s="24">
        <v>680.81</v>
      </c>
      <c r="I163" s="23">
        <f t="shared" si="3"/>
        <v>340405</v>
      </c>
      <c r="J163" s="18" t="s">
        <v>43</v>
      </c>
      <c r="K163" s="18" t="s">
        <v>41</v>
      </c>
      <c r="L163" s="6"/>
      <c r="M163" s="6"/>
      <c r="N163" s="6"/>
      <c r="O163" s="6"/>
      <c r="P163" s="6"/>
      <c r="Q163" s="6"/>
      <c r="R163" s="6"/>
      <c r="S163" s="6"/>
      <c r="T163" s="6"/>
      <c r="U163"/>
      <c r="V163"/>
      <c r="W163"/>
      <c r="X163"/>
    </row>
    <row r="164" spans="1:24" ht="33.75" x14ac:dyDescent="0.2">
      <c r="A164" s="18">
        <v>157</v>
      </c>
      <c r="B164" s="7" t="s">
        <v>331</v>
      </c>
      <c r="C164" s="5" t="s">
        <v>909</v>
      </c>
      <c r="D164" s="13">
        <v>142</v>
      </c>
      <c r="E164" s="7" t="s">
        <v>726</v>
      </c>
      <c r="F164" s="18" t="s">
        <v>20</v>
      </c>
      <c r="G164" s="18">
        <v>300</v>
      </c>
      <c r="H164" s="24">
        <v>18.829999999999998</v>
      </c>
      <c r="I164" s="23">
        <f t="shared" si="3"/>
        <v>5648.9999999999991</v>
      </c>
      <c r="J164" s="18" t="s">
        <v>43</v>
      </c>
      <c r="K164" s="18" t="s">
        <v>41</v>
      </c>
      <c r="L164" s="6"/>
      <c r="M164" s="6"/>
      <c r="N164" s="6"/>
      <c r="O164" s="6"/>
      <c r="P164" s="6"/>
      <c r="Q164" s="6"/>
      <c r="R164" s="6"/>
      <c r="S164" s="6"/>
      <c r="T164" s="6"/>
      <c r="U164"/>
      <c r="V164"/>
      <c r="W164"/>
      <c r="X164"/>
    </row>
    <row r="165" spans="1:24" ht="33.75" x14ac:dyDescent="0.2">
      <c r="A165" s="18">
        <v>158</v>
      </c>
      <c r="B165" s="7" t="s">
        <v>332</v>
      </c>
      <c r="C165" s="5" t="s">
        <v>909</v>
      </c>
      <c r="D165" s="13">
        <v>142</v>
      </c>
      <c r="E165" s="7" t="s">
        <v>727</v>
      </c>
      <c r="F165" s="18" t="s">
        <v>677</v>
      </c>
      <c r="G165" s="18">
        <v>500</v>
      </c>
      <c r="H165" s="24">
        <v>75.25</v>
      </c>
      <c r="I165" s="23">
        <f t="shared" si="3"/>
        <v>37625</v>
      </c>
      <c r="J165" s="18" t="s">
        <v>43</v>
      </c>
      <c r="K165" s="18" t="s">
        <v>41</v>
      </c>
      <c r="L165" s="6"/>
      <c r="M165" s="6"/>
      <c r="N165" s="6"/>
      <c r="O165" s="6"/>
      <c r="P165" s="6"/>
      <c r="Q165" s="6"/>
      <c r="R165" s="6"/>
      <c r="S165" s="6"/>
      <c r="T165" s="6"/>
      <c r="U165"/>
      <c r="V165"/>
      <c r="W165"/>
      <c r="X165"/>
    </row>
    <row r="166" spans="1:24" ht="33.75" x14ac:dyDescent="0.2">
      <c r="A166" s="18">
        <v>159</v>
      </c>
      <c r="B166" s="7" t="s">
        <v>333</v>
      </c>
      <c r="C166" s="5" t="s">
        <v>909</v>
      </c>
      <c r="D166" s="13">
        <v>142</v>
      </c>
      <c r="E166" s="7" t="s">
        <v>728</v>
      </c>
      <c r="F166" s="18" t="s">
        <v>21</v>
      </c>
      <c r="G166" s="18">
        <v>300</v>
      </c>
      <c r="H166" s="24">
        <v>14.67</v>
      </c>
      <c r="I166" s="23">
        <f t="shared" si="3"/>
        <v>4401</v>
      </c>
      <c r="J166" s="18" t="s">
        <v>43</v>
      </c>
      <c r="K166" s="18" t="s">
        <v>41</v>
      </c>
      <c r="L166" s="6"/>
      <c r="M166" s="6"/>
      <c r="N166" s="6"/>
      <c r="O166" s="6"/>
      <c r="P166" s="6"/>
      <c r="Q166" s="6"/>
      <c r="R166" s="6"/>
      <c r="S166" s="6"/>
      <c r="T166" s="6"/>
      <c r="U166"/>
      <c r="V166"/>
      <c r="W166"/>
      <c r="X166"/>
    </row>
    <row r="167" spans="1:24" ht="33.75" x14ac:dyDescent="0.2">
      <c r="A167" s="18">
        <v>160</v>
      </c>
      <c r="B167" s="7" t="s">
        <v>334</v>
      </c>
      <c r="C167" s="5" t="s">
        <v>909</v>
      </c>
      <c r="D167" s="13">
        <v>142</v>
      </c>
      <c r="E167" s="14" t="s">
        <v>729</v>
      </c>
      <c r="F167" s="17" t="s">
        <v>18</v>
      </c>
      <c r="G167" s="18">
        <v>300</v>
      </c>
      <c r="H167" s="24">
        <v>13.26</v>
      </c>
      <c r="I167" s="23">
        <f t="shared" si="3"/>
        <v>3978</v>
      </c>
      <c r="J167" s="12" t="s">
        <v>43</v>
      </c>
      <c r="K167" s="12" t="s">
        <v>41</v>
      </c>
      <c r="L167" s="6"/>
      <c r="M167" s="6"/>
      <c r="N167" s="6"/>
      <c r="O167" s="6"/>
      <c r="P167" s="6"/>
      <c r="Q167" s="6"/>
      <c r="R167" s="6"/>
      <c r="S167" s="6"/>
      <c r="T167" s="6"/>
      <c r="U167"/>
      <c r="V167"/>
      <c r="W167"/>
      <c r="X167"/>
    </row>
    <row r="168" spans="1:24" ht="33.75" x14ac:dyDescent="0.2">
      <c r="A168" s="18">
        <v>161</v>
      </c>
      <c r="B168" s="7" t="s">
        <v>335</v>
      </c>
      <c r="C168" s="5" t="s">
        <v>909</v>
      </c>
      <c r="D168" s="13">
        <v>142</v>
      </c>
      <c r="E168" s="14" t="s">
        <v>730</v>
      </c>
      <c r="F168" s="17" t="s">
        <v>20</v>
      </c>
      <c r="G168" s="18">
        <v>70</v>
      </c>
      <c r="H168" s="24">
        <v>298.60000000000002</v>
      </c>
      <c r="I168" s="23">
        <f t="shared" si="3"/>
        <v>20902</v>
      </c>
      <c r="J168" s="12" t="s">
        <v>43</v>
      </c>
      <c r="K168" s="12" t="s">
        <v>41</v>
      </c>
      <c r="L168" s="6"/>
      <c r="M168" s="6"/>
      <c r="N168" s="6"/>
      <c r="O168" s="6"/>
      <c r="P168" s="6"/>
      <c r="Q168" s="6"/>
      <c r="R168" s="6"/>
      <c r="S168" s="6"/>
      <c r="T168" s="6"/>
      <c r="U168"/>
      <c r="V168"/>
      <c r="W168"/>
      <c r="X168"/>
    </row>
    <row r="169" spans="1:24" ht="33.75" x14ac:dyDescent="0.2">
      <c r="A169" s="18">
        <v>162</v>
      </c>
      <c r="B169" s="7" t="s">
        <v>336</v>
      </c>
      <c r="C169" s="5" t="s">
        <v>909</v>
      </c>
      <c r="D169" s="13">
        <v>142</v>
      </c>
      <c r="E169" s="14" t="s">
        <v>731</v>
      </c>
      <c r="F169" s="17" t="s">
        <v>20</v>
      </c>
      <c r="G169" s="18">
        <v>300</v>
      </c>
      <c r="H169" s="24">
        <v>12.48</v>
      </c>
      <c r="I169" s="23">
        <f t="shared" si="3"/>
        <v>3744</v>
      </c>
      <c r="J169" s="12" t="s">
        <v>43</v>
      </c>
      <c r="K169" s="12" t="s">
        <v>41</v>
      </c>
      <c r="L169" s="6"/>
      <c r="M169" s="6"/>
      <c r="N169" s="6"/>
      <c r="O169" s="6"/>
      <c r="P169" s="6"/>
      <c r="Q169" s="6"/>
      <c r="R169" s="6"/>
      <c r="S169" s="6"/>
      <c r="T169" s="6"/>
      <c r="U169"/>
      <c r="V169"/>
      <c r="W169"/>
      <c r="X169"/>
    </row>
    <row r="170" spans="1:24" ht="33.75" x14ac:dyDescent="0.2">
      <c r="A170" s="18">
        <v>163</v>
      </c>
      <c r="B170" s="7" t="s">
        <v>337</v>
      </c>
      <c r="C170" s="5" t="s">
        <v>909</v>
      </c>
      <c r="D170" s="13">
        <v>142</v>
      </c>
      <c r="E170" s="14" t="s">
        <v>732</v>
      </c>
      <c r="F170" s="17" t="s">
        <v>20</v>
      </c>
      <c r="G170" s="18">
        <v>250</v>
      </c>
      <c r="H170" s="24">
        <v>301.12</v>
      </c>
      <c r="I170" s="23">
        <f t="shared" si="3"/>
        <v>75280</v>
      </c>
      <c r="J170" s="12" t="s">
        <v>43</v>
      </c>
      <c r="K170" s="12" t="s">
        <v>41</v>
      </c>
      <c r="L170" s="6"/>
      <c r="M170" s="6"/>
      <c r="N170" s="6"/>
      <c r="O170" s="6"/>
      <c r="P170" s="6"/>
      <c r="Q170" s="6"/>
      <c r="R170" s="6"/>
      <c r="S170" s="6"/>
      <c r="T170" s="6"/>
      <c r="U170"/>
      <c r="V170"/>
      <c r="W170"/>
      <c r="X170"/>
    </row>
    <row r="171" spans="1:24" ht="33.75" x14ac:dyDescent="0.2">
      <c r="A171" s="18">
        <v>164</v>
      </c>
      <c r="B171" s="14" t="s">
        <v>338</v>
      </c>
      <c r="C171" s="5" t="s">
        <v>909</v>
      </c>
      <c r="D171" s="13">
        <v>142</v>
      </c>
      <c r="E171" s="14" t="s">
        <v>733</v>
      </c>
      <c r="F171" s="17" t="s">
        <v>18</v>
      </c>
      <c r="G171" s="18">
        <v>200</v>
      </c>
      <c r="H171" s="24">
        <v>20.58</v>
      </c>
      <c r="I171" s="23">
        <f t="shared" si="3"/>
        <v>4116</v>
      </c>
      <c r="J171" s="12" t="s">
        <v>43</v>
      </c>
      <c r="K171" s="12" t="s">
        <v>41</v>
      </c>
      <c r="L171" s="6"/>
      <c r="M171" s="6"/>
      <c r="N171" s="6"/>
      <c r="O171" s="6"/>
      <c r="P171" s="6"/>
      <c r="Q171" s="6"/>
      <c r="R171" s="6"/>
      <c r="S171" s="6"/>
      <c r="T171" s="6"/>
      <c r="U171"/>
      <c r="V171"/>
      <c r="W171"/>
      <c r="X171"/>
    </row>
    <row r="172" spans="1:24" ht="33.75" x14ac:dyDescent="0.2">
      <c r="A172" s="18">
        <v>165</v>
      </c>
      <c r="B172" s="14" t="s">
        <v>62</v>
      </c>
      <c r="C172" s="5" t="s">
        <v>909</v>
      </c>
      <c r="D172" s="13">
        <v>142</v>
      </c>
      <c r="E172" s="14" t="s">
        <v>734</v>
      </c>
      <c r="F172" s="17" t="s">
        <v>18</v>
      </c>
      <c r="G172" s="18">
        <v>750</v>
      </c>
      <c r="H172" s="24">
        <v>41.28</v>
      </c>
      <c r="I172" s="23">
        <f t="shared" si="3"/>
        <v>30960</v>
      </c>
      <c r="J172" s="12" t="s">
        <v>43</v>
      </c>
      <c r="K172" s="12" t="s">
        <v>41</v>
      </c>
      <c r="L172" s="6"/>
      <c r="M172" s="6"/>
      <c r="N172" s="6"/>
      <c r="O172" s="6"/>
      <c r="P172" s="6"/>
      <c r="Q172" s="6"/>
      <c r="R172" s="6"/>
      <c r="S172" s="6"/>
      <c r="T172" s="6"/>
      <c r="U172"/>
      <c r="V172"/>
      <c r="W172"/>
      <c r="X172"/>
    </row>
    <row r="173" spans="1:24" ht="33.75" x14ac:dyDescent="0.2">
      <c r="A173" s="18">
        <v>166</v>
      </c>
      <c r="B173" s="14" t="s">
        <v>339</v>
      </c>
      <c r="C173" s="5" t="s">
        <v>909</v>
      </c>
      <c r="D173" s="13">
        <v>142</v>
      </c>
      <c r="E173" s="14" t="s">
        <v>735</v>
      </c>
      <c r="F173" s="17" t="s">
        <v>22</v>
      </c>
      <c r="G173" s="18">
        <v>600</v>
      </c>
      <c r="H173" s="24">
        <v>18.28</v>
      </c>
      <c r="I173" s="23">
        <f t="shared" si="3"/>
        <v>10968</v>
      </c>
      <c r="J173" s="12" t="s">
        <v>43</v>
      </c>
      <c r="K173" s="12" t="s">
        <v>41</v>
      </c>
      <c r="L173" s="6"/>
      <c r="M173" s="6"/>
      <c r="N173" s="6"/>
      <c r="O173" s="6"/>
      <c r="P173" s="6"/>
      <c r="Q173" s="6"/>
      <c r="R173" s="6"/>
      <c r="S173" s="6"/>
      <c r="T173" s="6"/>
      <c r="U173"/>
      <c r="V173"/>
      <c r="W173"/>
      <c r="X173"/>
    </row>
    <row r="174" spans="1:24" ht="33.75" x14ac:dyDescent="0.2">
      <c r="A174" s="18">
        <v>167</v>
      </c>
      <c r="B174" s="14" t="s">
        <v>63</v>
      </c>
      <c r="C174" s="5" t="s">
        <v>909</v>
      </c>
      <c r="D174" s="13">
        <v>142</v>
      </c>
      <c r="E174" s="14" t="s">
        <v>736</v>
      </c>
      <c r="F174" s="17" t="s">
        <v>18</v>
      </c>
      <c r="G174" s="18">
        <v>2000</v>
      </c>
      <c r="H174" s="24">
        <v>500.08</v>
      </c>
      <c r="I174" s="23">
        <f t="shared" si="3"/>
        <v>1000160</v>
      </c>
      <c r="J174" s="12" t="s">
        <v>43</v>
      </c>
      <c r="K174" s="12" t="s">
        <v>41</v>
      </c>
      <c r="L174" s="6"/>
      <c r="M174" s="6"/>
      <c r="N174" s="6"/>
      <c r="O174" s="6"/>
      <c r="P174" s="6"/>
      <c r="Q174" s="6"/>
      <c r="R174" s="6"/>
      <c r="S174" s="6"/>
      <c r="T174" s="6"/>
      <c r="U174"/>
      <c r="V174"/>
      <c r="W174"/>
      <c r="X174"/>
    </row>
    <row r="175" spans="1:24" ht="33.75" x14ac:dyDescent="0.2">
      <c r="A175" s="18">
        <v>168</v>
      </c>
      <c r="B175" s="14" t="s">
        <v>64</v>
      </c>
      <c r="C175" s="5" t="s">
        <v>909</v>
      </c>
      <c r="D175" s="13">
        <v>142</v>
      </c>
      <c r="E175" s="14" t="s">
        <v>737</v>
      </c>
      <c r="F175" s="17" t="s">
        <v>18</v>
      </c>
      <c r="G175" s="18">
        <v>3000</v>
      </c>
      <c r="H175" s="24">
        <f>20.28/1.12</f>
        <v>18.107142857142858</v>
      </c>
      <c r="I175" s="23">
        <f t="shared" si="3"/>
        <v>54321.428571428572</v>
      </c>
      <c r="J175" s="12" t="s">
        <v>43</v>
      </c>
      <c r="K175" s="12" t="s">
        <v>41</v>
      </c>
      <c r="L175" s="6"/>
      <c r="M175" s="6"/>
      <c r="N175" s="6"/>
      <c r="O175" s="6"/>
      <c r="P175" s="6"/>
      <c r="Q175" s="6"/>
      <c r="R175" s="6"/>
      <c r="S175" s="6"/>
      <c r="T175" s="6"/>
      <c r="U175"/>
      <c r="V175"/>
      <c r="W175"/>
      <c r="X175"/>
    </row>
    <row r="176" spans="1:24" ht="33.75" x14ac:dyDescent="0.2">
      <c r="A176" s="18">
        <v>169</v>
      </c>
      <c r="B176" s="14" t="s">
        <v>340</v>
      </c>
      <c r="C176" s="5" t="s">
        <v>909</v>
      </c>
      <c r="D176" s="13">
        <v>142</v>
      </c>
      <c r="E176" s="14" t="s">
        <v>738</v>
      </c>
      <c r="F176" s="17" t="s">
        <v>22</v>
      </c>
      <c r="G176" s="18">
        <v>984</v>
      </c>
      <c r="H176" s="24">
        <v>17.25</v>
      </c>
      <c r="I176" s="23">
        <f t="shared" si="3"/>
        <v>16974</v>
      </c>
      <c r="J176" s="12" t="s">
        <v>43</v>
      </c>
      <c r="K176" s="12" t="s">
        <v>41</v>
      </c>
      <c r="L176" s="6"/>
      <c r="M176" s="6"/>
      <c r="N176" s="6"/>
      <c r="O176" s="6"/>
      <c r="P176" s="6"/>
      <c r="Q176" s="6"/>
      <c r="R176" s="6"/>
      <c r="S176" s="6"/>
      <c r="T176" s="6"/>
      <c r="U176"/>
      <c r="V176"/>
      <c r="W176"/>
      <c r="X176"/>
    </row>
    <row r="177" spans="1:24" ht="33.75" x14ac:dyDescent="0.2">
      <c r="A177" s="18">
        <v>170</v>
      </c>
      <c r="B177" s="14" t="s">
        <v>340</v>
      </c>
      <c r="C177" s="5" t="s">
        <v>909</v>
      </c>
      <c r="D177" s="13">
        <v>142</v>
      </c>
      <c r="E177" s="14" t="s">
        <v>739</v>
      </c>
      <c r="F177" s="17" t="s">
        <v>16</v>
      </c>
      <c r="G177" s="18">
        <v>1500</v>
      </c>
      <c r="H177" s="24">
        <v>16.09</v>
      </c>
      <c r="I177" s="23">
        <f t="shared" si="3"/>
        <v>24135</v>
      </c>
      <c r="J177" s="12" t="s">
        <v>43</v>
      </c>
      <c r="K177" s="12" t="s">
        <v>41</v>
      </c>
      <c r="L177" s="6"/>
      <c r="M177" s="6"/>
      <c r="N177" s="6"/>
      <c r="O177" s="6"/>
      <c r="P177" s="6"/>
      <c r="Q177" s="6"/>
      <c r="R177" s="6"/>
      <c r="S177" s="6"/>
      <c r="T177" s="6"/>
      <c r="U177"/>
      <c r="V177"/>
      <c r="W177"/>
      <c r="X177"/>
    </row>
    <row r="178" spans="1:24" ht="33.75" x14ac:dyDescent="0.2">
      <c r="A178" s="18">
        <v>171</v>
      </c>
      <c r="B178" s="14" t="s">
        <v>65</v>
      </c>
      <c r="C178" s="5" t="s">
        <v>909</v>
      </c>
      <c r="D178" s="13">
        <v>142</v>
      </c>
      <c r="E178" s="14" t="s">
        <v>740</v>
      </c>
      <c r="F178" s="17" t="s">
        <v>18</v>
      </c>
      <c r="G178" s="18">
        <v>200</v>
      </c>
      <c r="H178" s="24">
        <v>128.66999999999999</v>
      </c>
      <c r="I178" s="23">
        <f t="shared" si="3"/>
        <v>25733.999999999996</v>
      </c>
      <c r="J178" s="12" t="s">
        <v>43</v>
      </c>
      <c r="K178" s="12" t="s">
        <v>41</v>
      </c>
      <c r="L178" s="6"/>
      <c r="M178" s="6"/>
      <c r="N178" s="6"/>
      <c r="O178" s="6"/>
      <c r="P178" s="6"/>
      <c r="Q178" s="6"/>
      <c r="R178" s="6"/>
      <c r="S178" s="6"/>
      <c r="T178" s="6"/>
      <c r="U178"/>
      <c r="V178"/>
      <c r="W178"/>
      <c r="X178"/>
    </row>
    <row r="179" spans="1:24" ht="33.75" x14ac:dyDescent="0.2">
      <c r="A179" s="18">
        <v>172</v>
      </c>
      <c r="B179" s="14" t="s">
        <v>65</v>
      </c>
      <c r="C179" s="5" t="s">
        <v>909</v>
      </c>
      <c r="D179" s="13">
        <v>142</v>
      </c>
      <c r="E179" s="14" t="s">
        <v>741</v>
      </c>
      <c r="F179" s="17" t="s">
        <v>18</v>
      </c>
      <c r="G179" s="18">
        <v>200</v>
      </c>
      <c r="H179" s="24">
        <v>36.25</v>
      </c>
      <c r="I179" s="23">
        <f t="shared" si="3"/>
        <v>7250</v>
      </c>
      <c r="J179" s="12" t="s">
        <v>43</v>
      </c>
      <c r="K179" s="12" t="s">
        <v>41</v>
      </c>
      <c r="L179" s="6"/>
      <c r="M179" s="6"/>
      <c r="N179" s="6"/>
      <c r="O179" s="6"/>
      <c r="P179" s="6"/>
      <c r="Q179" s="6"/>
      <c r="R179" s="6"/>
      <c r="S179" s="6"/>
      <c r="T179" s="6"/>
      <c r="U179"/>
      <c r="V179"/>
      <c r="W179"/>
      <c r="X179"/>
    </row>
    <row r="180" spans="1:24" ht="33.75" x14ac:dyDescent="0.2">
      <c r="A180" s="18">
        <v>173</v>
      </c>
      <c r="B180" s="14" t="s">
        <v>341</v>
      </c>
      <c r="C180" s="5" t="s">
        <v>909</v>
      </c>
      <c r="D180" s="13">
        <v>142</v>
      </c>
      <c r="E180" s="14" t="s">
        <v>742</v>
      </c>
      <c r="F180" s="17" t="s">
        <v>22</v>
      </c>
      <c r="G180" s="18">
        <v>20000</v>
      </c>
      <c r="H180" s="24">
        <v>13.29</v>
      </c>
      <c r="I180" s="23">
        <f t="shared" si="3"/>
        <v>265800</v>
      </c>
      <c r="J180" s="12" t="s">
        <v>43</v>
      </c>
      <c r="K180" s="12" t="s">
        <v>41</v>
      </c>
      <c r="L180" s="6"/>
      <c r="M180" s="6"/>
      <c r="N180" s="6"/>
      <c r="O180" s="6"/>
      <c r="P180" s="6"/>
      <c r="Q180" s="6"/>
      <c r="R180" s="6"/>
      <c r="S180" s="6"/>
      <c r="T180" s="6"/>
      <c r="U180"/>
      <c r="V180"/>
      <c r="W180"/>
      <c r="X180"/>
    </row>
    <row r="181" spans="1:24" ht="33.75" x14ac:dyDescent="0.2">
      <c r="A181" s="18">
        <v>174</v>
      </c>
      <c r="B181" s="14" t="s">
        <v>342</v>
      </c>
      <c r="C181" s="5" t="s">
        <v>909</v>
      </c>
      <c r="D181" s="13">
        <v>142</v>
      </c>
      <c r="E181" s="14" t="s">
        <v>743</v>
      </c>
      <c r="F181" s="17" t="s">
        <v>42</v>
      </c>
      <c r="G181" s="18">
        <v>100</v>
      </c>
      <c r="H181" s="24">
        <v>47.98</v>
      </c>
      <c r="I181" s="23">
        <f t="shared" si="3"/>
        <v>4798</v>
      </c>
      <c r="J181" s="12" t="s">
        <v>43</v>
      </c>
      <c r="K181" s="12" t="s">
        <v>41</v>
      </c>
      <c r="L181" s="6"/>
      <c r="M181" s="6"/>
      <c r="N181" s="6"/>
      <c r="O181" s="6"/>
      <c r="P181" s="6"/>
      <c r="Q181" s="6"/>
      <c r="R181" s="6"/>
      <c r="S181" s="6"/>
      <c r="T181" s="6"/>
      <c r="U181"/>
      <c r="V181"/>
      <c r="W181"/>
      <c r="X181"/>
    </row>
    <row r="182" spans="1:24" ht="33.75" x14ac:dyDescent="0.2">
      <c r="A182" s="18">
        <v>175</v>
      </c>
      <c r="B182" s="14" t="s">
        <v>343</v>
      </c>
      <c r="C182" s="5" t="s">
        <v>909</v>
      </c>
      <c r="D182" s="13">
        <v>142</v>
      </c>
      <c r="E182" s="14" t="s">
        <v>744</v>
      </c>
      <c r="F182" s="17" t="s">
        <v>48</v>
      </c>
      <c r="G182" s="18">
        <v>3</v>
      </c>
      <c r="H182" s="24">
        <v>2557.31</v>
      </c>
      <c r="I182" s="23">
        <f t="shared" si="3"/>
        <v>7671.93</v>
      </c>
      <c r="J182" s="12" t="s">
        <v>43</v>
      </c>
      <c r="K182" s="12" t="s">
        <v>41</v>
      </c>
      <c r="L182" s="6"/>
      <c r="M182" s="6"/>
      <c r="N182" s="6"/>
      <c r="O182" s="6"/>
      <c r="P182" s="6"/>
      <c r="Q182" s="6"/>
      <c r="R182" s="6"/>
      <c r="S182" s="6"/>
      <c r="T182" s="6"/>
      <c r="U182"/>
      <c r="V182"/>
      <c r="W182"/>
      <c r="X182"/>
    </row>
    <row r="183" spans="1:24" ht="33.75" x14ac:dyDescent="0.2">
      <c r="A183" s="18">
        <v>176</v>
      </c>
      <c r="B183" s="14" t="s">
        <v>66</v>
      </c>
      <c r="C183" s="5" t="s">
        <v>909</v>
      </c>
      <c r="D183" s="13">
        <v>142</v>
      </c>
      <c r="E183" s="14" t="s">
        <v>745</v>
      </c>
      <c r="F183" s="17" t="s">
        <v>19</v>
      </c>
      <c r="G183" s="18">
        <v>5</v>
      </c>
      <c r="H183" s="24">
        <v>2330.77</v>
      </c>
      <c r="I183" s="23">
        <f t="shared" si="3"/>
        <v>11653.85</v>
      </c>
      <c r="J183" s="12" t="s">
        <v>43</v>
      </c>
      <c r="K183" s="12" t="s">
        <v>41</v>
      </c>
      <c r="L183" s="6"/>
      <c r="M183" s="6"/>
      <c r="N183" s="6"/>
      <c r="O183" s="6"/>
      <c r="P183" s="6"/>
      <c r="Q183" s="6"/>
      <c r="R183" s="6"/>
      <c r="S183" s="6"/>
      <c r="T183" s="6"/>
      <c r="U183"/>
      <c r="V183"/>
      <c r="W183"/>
      <c r="X183"/>
    </row>
    <row r="184" spans="1:24" ht="90" x14ac:dyDescent="0.2">
      <c r="A184" s="18">
        <v>177</v>
      </c>
      <c r="B184" s="14" t="s">
        <v>67</v>
      </c>
      <c r="C184" s="5" t="s">
        <v>909</v>
      </c>
      <c r="D184" s="13">
        <v>142</v>
      </c>
      <c r="E184" s="14" t="s">
        <v>746</v>
      </c>
      <c r="F184" s="17" t="s">
        <v>19</v>
      </c>
      <c r="G184" s="18">
        <v>5</v>
      </c>
      <c r="H184" s="24">
        <v>2467.25</v>
      </c>
      <c r="I184" s="23">
        <f t="shared" si="3"/>
        <v>12336.25</v>
      </c>
      <c r="J184" s="12" t="s">
        <v>43</v>
      </c>
      <c r="K184" s="12" t="s">
        <v>41</v>
      </c>
      <c r="L184" s="6"/>
      <c r="M184" s="6"/>
      <c r="N184" s="6"/>
      <c r="O184" s="6"/>
      <c r="P184" s="6"/>
      <c r="Q184" s="6"/>
      <c r="R184" s="6"/>
      <c r="S184" s="6"/>
      <c r="T184" s="6"/>
      <c r="U184"/>
      <c r="V184"/>
      <c r="W184"/>
      <c r="X184"/>
    </row>
    <row r="185" spans="1:24" ht="45" x14ac:dyDescent="0.2">
      <c r="A185" s="18">
        <v>178</v>
      </c>
      <c r="B185" s="14" t="s">
        <v>68</v>
      </c>
      <c r="C185" s="5" t="s">
        <v>909</v>
      </c>
      <c r="D185" s="13">
        <v>142</v>
      </c>
      <c r="E185" s="14" t="s">
        <v>747</v>
      </c>
      <c r="F185" s="17" t="s">
        <v>19</v>
      </c>
      <c r="G185" s="18">
        <v>10</v>
      </c>
      <c r="H185" s="24">
        <v>2537.71</v>
      </c>
      <c r="I185" s="23">
        <f t="shared" si="3"/>
        <v>25377.1</v>
      </c>
      <c r="J185" s="12" t="s">
        <v>43</v>
      </c>
      <c r="K185" s="12" t="s">
        <v>41</v>
      </c>
      <c r="L185" s="6"/>
      <c r="M185" s="6"/>
      <c r="N185" s="6"/>
      <c r="O185" s="6"/>
      <c r="P185" s="6"/>
      <c r="Q185" s="6"/>
      <c r="R185" s="6"/>
      <c r="S185" s="6"/>
      <c r="T185" s="6"/>
      <c r="U185"/>
      <c r="V185"/>
      <c r="W185"/>
      <c r="X185"/>
    </row>
    <row r="186" spans="1:24" ht="33.75" x14ac:dyDescent="0.2">
      <c r="A186" s="18">
        <v>179</v>
      </c>
      <c r="B186" s="14" t="s">
        <v>344</v>
      </c>
      <c r="C186" s="5" t="s">
        <v>909</v>
      </c>
      <c r="D186" s="13">
        <v>142</v>
      </c>
      <c r="E186" s="14" t="s">
        <v>748</v>
      </c>
      <c r="F186" s="17" t="s">
        <v>20</v>
      </c>
      <c r="G186" s="18">
        <v>40</v>
      </c>
      <c r="H186" s="24">
        <v>955.97</v>
      </c>
      <c r="I186" s="23">
        <f t="shared" si="3"/>
        <v>38238.800000000003</v>
      </c>
      <c r="J186" s="12" t="s">
        <v>43</v>
      </c>
      <c r="K186" s="12" t="s">
        <v>41</v>
      </c>
      <c r="L186" s="6"/>
      <c r="M186" s="6"/>
      <c r="N186" s="6"/>
      <c r="O186" s="6"/>
      <c r="P186" s="6"/>
      <c r="Q186" s="6"/>
      <c r="R186" s="6"/>
      <c r="S186" s="6"/>
      <c r="T186" s="6"/>
      <c r="U186"/>
      <c r="V186"/>
      <c r="W186"/>
      <c r="X186"/>
    </row>
    <row r="187" spans="1:24" ht="33.75" x14ac:dyDescent="0.2">
      <c r="A187" s="18">
        <v>180</v>
      </c>
      <c r="B187" s="14" t="s">
        <v>69</v>
      </c>
      <c r="C187" s="5" t="s">
        <v>909</v>
      </c>
      <c r="D187" s="13">
        <v>142</v>
      </c>
      <c r="E187" s="14" t="s">
        <v>749</v>
      </c>
      <c r="F187" s="17" t="s">
        <v>20</v>
      </c>
      <c r="G187" s="18">
        <v>5</v>
      </c>
      <c r="H187" s="24">
        <v>15329.26</v>
      </c>
      <c r="I187" s="23">
        <f t="shared" si="3"/>
        <v>76646.3</v>
      </c>
      <c r="J187" s="12" t="s">
        <v>43</v>
      </c>
      <c r="K187" s="12" t="s">
        <v>41</v>
      </c>
      <c r="L187" s="6"/>
      <c r="M187" s="6"/>
      <c r="N187" s="6"/>
      <c r="O187" s="6"/>
      <c r="P187" s="6"/>
      <c r="Q187" s="6"/>
      <c r="R187" s="6"/>
      <c r="S187" s="6"/>
      <c r="T187" s="6"/>
      <c r="U187"/>
      <c r="V187"/>
      <c r="W187"/>
      <c r="X187"/>
    </row>
    <row r="188" spans="1:24" ht="33.75" x14ac:dyDescent="0.2">
      <c r="A188" s="18">
        <v>181</v>
      </c>
      <c r="B188" s="14" t="s">
        <v>345</v>
      </c>
      <c r="C188" s="5" t="s">
        <v>909</v>
      </c>
      <c r="D188" s="13">
        <v>142</v>
      </c>
      <c r="E188" s="14" t="s">
        <v>750</v>
      </c>
      <c r="F188" s="17" t="s">
        <v>18</v>
      </c>
      <c r="G188" s="18">
        <v>50</v>
      </c>
      <c r="H188" s="24">
        <v>271.56</v>
      </c>
      <c r="I188" s="23">
        <f t="shared" si="3"/>
        <v>13578</v>
      </c>
      <c r="J188" s="12" t="s">
        <v>43</v>
      </c>
      <c r="K188" s="12" t="s">
        <v>41</v>
      </c>
      <c r="L188" s="6"/>
      <c r="M188" s="6"/>
      <c r="N188" s="6"/>
      <c r="O188" s="6"/>
      <c r="P188" s="6"/>
      <c r="Q188" s="6"/>
      <c r="R188" s="6"/>
      <c r="S188" s="6"/>
      <c r="T188" s="6"/>
      <c r="U188"/>
      <c r="V188"/>
      <c r="W188"/>
      <c r="X188"/>
    </row>
    <row r="189" spans="1:24" ht="33.75" x14ac:dyDescent="0.2">
      <c r="A189" s="18">
        <v>182</v>
      </c>
      <c r="B189" s="14" t="s">
        <v>346</v>
      </c>
      <c r="C189" s="5" t="s">
        <v>909</v>
      </c>
      <c r="D189" s="13">
        <v>142</v>
      </c>
      <c r="E189" s="14" t="s">
        <v>751</v>
      </c>
      <c r="F189" s="17" t="s">
        <v>20</v>
      </c>
      <c r="G189" s="18">
        <v>30</v>
      </c>
      <c r="H189" s="24">
        <v>2652.09</v>
      </c>
      <c r="I189" s="23">
        <f t="shared" si="3"/>
        <v>79562.700000000012</v>
      </c>
      <c r="J189" s="12" t="s">
        <v>43</v>
      </c>
      <c r="K189" s="12" t="s">
        <v>41</v>
      </c>
      <c r="L189" s="6"/>
      <c r="M189" s="6"/>
      <c r="N189" s="6"/>
      <c r="O189" s="6"/>
      <c r="P189" s="6"/>
      <c r="Q189" s="6"/>
      <c r="R189" s="6"/>
      <c r="S189" s="6"/>
      <c r="T189" s="6"/>
      <c r="U189"/>
      <c r="V189"/>
      <c r="W189"/>
      <c r="X189"/>
    </row>
    <row r="190" spans="1:24" ht="33.75" x14ac:dyDescent="0.2">
      <c r="A190" s="18">
        <v>183</v>
      </c>
      <c r="B190" s="14" t="s">
        <v>70</v>
      </c>
      <c r="C190" s="5" t="s">
        <v>909</v>
      </c>
      <c r="D190" s="13">
        <v>142</v>
      </c>
      <c r="E190" s="14" t="s">
        <v>752</v>
      </c>
      <c r="F190" s="17" t="s">
        <v>18</v>
      </c>
      <c r="G190" s="18">
        <v>2000</v>
      </c>
      <c r="H190" s="24">
        <f>86.9/1.12</f>
        <v>77.589285714285708</v>
      </c>
      <c r="I190" s="23">
        <f t="shared" si="3"/>
        <v>155178.57142857142</v>
      </c>
      <c r="J190" s="12" t="s">
        <v>43</v>
      </c>
      <c r="K190" s="12" t="s">
        <v>41</v>
      </c>
      <c r="L190" s="6"/>
      <c r="M190" s="6"/>
      <c r="N190" s="6"/>
      <c r="O190" s="6"/>
      <c r="P190" s="6"/>
      <c r="Q190" s="6"/>
      <c r="R190" s="6"/>
      <c r="S190" s="6"/>
      <c r="T190" s="6"/>
      <c r="U190"/>
      <c r="V190"/>
      <c r="W190"/>
      <c r="X190"/>
    </row>
    <row r="191" spans="1:24" ht="33.75" x14ac:dyDescent="0.2">
      <c r="A191" s="18">
        <v>184</v>
      </c>
      <c r="B191" s="14" t="s">
        <v>347</v>
      </c>
      <c r="C191" s="5" t="s">
        <v>909</v>
      </c>
      <c r="D191" s="13">
        <v>142</v>
      </c>
      <c r="E191" s="14" t="s">
        <v>753</v>
      </c>
      <c r="F191" s="17" t="s">
        <v>20</v>
      </c>
      <c r="G191" s="18">
        <v>1000</v>
      </c>
      <c r="H191" s="24">
        <v>979.47</v>
      </c>
      <c r="I191" s="23">
        <f t="shared" si="3"/>
        <v>979470</v>
      </c>
      <c r="J191" s="12" t="s">
        <v>43</v>
      </c>
      <c r="K191" s="12" t="s">
        <v>41</v>
      </c>
      <c r="L191" s="6"/>
      <c r="M191" s="6"/>
      <c r="N191" s="6"/>
      <c r="O191" s="6"/>
      <c r="P191" s="6"/>
      <c r="Q191" s="6"/>
      <c r="R191" s="6"/>
      <c r="S191" s="6"/>
      <c r="T191" s="6"/>
      <c r="U191"/>
      <c r="V191"/>
      <c r="W191"/>
      <c r="X191"/>
    </row>
    <row r="192" spans="1:24" ht="33.75" x14ac:dyDescent="0.2">
      <c r="A192" s="18">
        <v>185</v>
      </c>
      <c r="B192" s="14" t="s">
        <v>348</v>
      </c>
      <c r="C192" s="5" t="s">
        <v>909</v>
      </c>
      <c r="D192" s="13">
        <v>142</v>
      </c>
      <c r="E192" s="14" t="s">
        <v>754</v>
      </c>
      <c r="F192" s="17" t="s">
        <v>18</v>
      </c>
      <c r="G192" s="18">
        <v>2000</v>
      </c>
      <c r="H192" s="24">
        <v>21.62</v>
      </c>
      <c r="I192" s="23">
        <f t="shared" si="3"/>
        <v>43240</v>
      </c>
      <c r="J192" s="12" t="s">
        <v>43</v>
      </c>
      <c r="K192" s="12" t="s">
        <v>41</v>
      </c>
      <c r="L192" s="6"/>
      <c r="M192" s="6"/>
      <c r="N192" s="6"/>
      <c r="O192" s="6"/>
      <c r="P192" s="6"/>
      <c r="Q192" s="6"/>
      <c r="R192" s="6"/>
      <c r="S192" s="6"/>
      <c r="T192" s="6"/>
      <c r="U192"/>
      <c r="V192"/>
      <c r="W192"/>
      <c r="X192"/>
    </row>
    <row r="193" spans="1:24" ht="67.5" x14ac:dyDescent="0.2">
      <c r="A193" s="18">
        <v>186</v>
      </c>
      <c r="B193" s="14" t="s">
        <v>349</v>
      </c>
      <c r="C193" s="5" t="s">
        <v>909</v>
      </c>
      <c r="D193" s="13">
        <v>142</v>
      </c>
      <c r="E193" s="14" t="s">
        <v>755</v>
      </c>
      <c r="F193" s="17" t="s">
        <v>21</v>
      </c>
      <c r="G193" s="18">
        <v>3000</v>
      </c>
      <c r="H193" s="24">
        <v>120.45</v>
      </c>
      <c r="I193" s="23">
        <f t="shared" si="3"/>
        <v>361350</v>
      </c>
      <c r="J193" s="18" t="s">
        <v>43</v>
      </c>
      <c r="K193" s="18" t="s">
        <v>41</v>
      </c>
      <c r="L193" s="6"/>
      <c r="M193" s="6"/>
      <c r="N193" s="6"/>
      <c r="O193" s="6"/>
      <c r="P193" s="6"/>
      <c r="Q193" s="6"/>
      <c r="R193" s="6"/>
      <c r="S193" s="6"/>
      <c r="T193" s="6"/>
      <c r="U193"/>
      <c r="V193"/>
      <c r="W193"/>
      <c r="X193"/>
    </row>
    <row r="194" spans="1:24" ht="67.5" x14ac:dyDescent="0.2">
      <c r="A194" s="18">
        <v>187</v>
      </c>
      <c r="B194" s="14" t="s">
        <v>350</v>
      </c>
      <c r="C194" s="5" t="s">
        <v>909</v>
      </c>
      <c r="D194" s="13">
        <v>142</v>
      </c>
      <c r="E194" s="14" t="s">
        <v>756</v>
      </c>
      <c r="F194" s="17" t="s">
        <v>20</v>
      </c>
      <c r="G194" s="18">
        <v>2000</v>
      </c>
      <c r="H194" s="24">
        <v>732.54</v>
      </c>
      <c r="I194" s="23">
        <f t="shared" si="3"/>
        <v>1465080</v>
      </c>
      <c r="J194" s="18" t="s">
        <v>43</v>
      </c>
      <c r="K194" s="18" t="s">
        <v>41</v>
      </c>
      <c r="L194" s="6"/>
      <c r="M194" s="6"/>
      <c r="N194" s="6"/>
      <c r="O194" s="6"/>
      <c r="P194" s="6"/>
      <c r="Q194" s="6"/>
      <c r="R194" s="6"/>
      <c r="S194" s="6"/>
      <c r="T194" s="6"/>
      <c r="U194"/>
      <c r="V194"/>
      <c r="W194"/>
      <c r="X194"/>
    </row>
    <row r="195" spans="1:24" ht="56.25" x14ac:dyDescent="0.2">
      <c r="A195" s="18">
        <v>188</v>
      </c>
      <c r="B195" s="14" t="s">
        <v>351</v>
      </c>
      <c r="C195" s="5" t="s">
        <v>909</v>
      </c>
      <c r="D195" s="13">
        <v>142</v>
      </c>
      <c r="E195" s="14" t="s">
        <v>757</v>
      </c>
      <c r="F195" s="17" t="s">
        <v>21</v>
      </c>
      <c r="G195" s="18">
        <v>10000</v>
      </c>
      <c r="H195" s="24">
        <v>76.290000000000006</v>
      </c>
      <c r="I195" s="23">
        <f t="shared" si="3"/>
        <v>762900.00000000012</v>
      </c>
      <c r="J195" s="18" t="s">
        <v>43</v>
      </c>
      <c r="K195" s="18" t="s">
        <v>41</v>
      </c>
      <c r="L195" s="6"/>
      <c r="M195" s="6"/>
      <c r="N195" s="6"/>
      <c r="O195" s="6"/>
      <c r="P195" s="6"/>
      <c r="Q195" s="6"/>
      <c r="R195" s="6"/>
      <c r="S195" s="6"/>
      <c r="T195" s="6"/>
      <c r="U195"/>
      <c r="V195"/>
      <c r="W195"/>
      <c r="X195"/>
    </row>
    <row r="196" spans="1:24" ht="33.75" x14ac:dyDescent="0.2">
      <c r="A196" s="18">
        <v>189</v>
      </c>
      <c r="B196" s="14" t="s">
        <v>352</v>
      </c>
      <c r="C196" s="5" t="s">
        <v>909</v>
      </c>
      <c r="D196" s="13">
        <v>142</v>
      </c>
      <c r="E196" s="14" t="s">
        <v>758</v>
      </c>
      <c r="F196" s="17" t="s">
        <v>22</v>
      </c>
      <c r="G196" s="18">
        <v>200</v>
      </c>
      <c r="H196" s="24">
        <v>6.01</v>
      </c>
      <c r="I196" s="23">
        <f t="shared" si="3"/>
        <v>1202</v>
      </c>
      <c r="J196" s="12" t="s">
        <v>43</v>
      </c>
      <c r="K196" s="12" t="s">
        <v>41</v>
      </c>
      <c r="L196" s="6"/>
      <c r="M196" s="6"/>
      <c r="N196" s="6"/>
      <c r="O196" s="6"/>
      <c r="P196" s="6"/>
      <c r="Q196" s="6"/>
      <c r="R196" s="6"/>
      <c r="S196" s="6"/>
      <c r="T196" s="6"/>
      <c r="U196"/>
      <c r="V196"/>
      <c r="W196"/>
      <c r="X196"/>
    </row>
    <row r="197" spans="1:24" ht="33.75" x14ac:dyDescent="0.2">
      <c r="A197" s="18">
        <v>190</v>
      </c>
      <c r="B197" s="14" t="s">
        <v>71</v>
      </c>
      <c r="C197" s="5" t="s">
        <v>909</v>
      </c>
      <c r="D197" s="13">
        <v>142</v>
      </c>
      <c r="E197" s="14" t="s">
        <v>759</v>
      </c>
      <c r="F197" s="17" t="s">
        <v>20</v>
      </c>
      <c r="G197" s="18">
        <v>500</v>
      </c>
      <c r="H197" s="24">
        <f>531.96/1.12</f>
        <v>474.96428571428572</v>
      </c>
      <c r="I197" s="23">
        <f t="shared" si="3"/>
        <v>237482.14285714287</v>
      </c>
      <c r="J197" s="12" t="s">
        <v>43</v>
      </c>
      <c r="K197" s="12" t="s">
        <v>41</v>
      </c>
      <c r="L197" s="6"/>
      <c r="M197" s="6"/>
      <c r="N197" s="6"/>
      <c r="O197" s="6"/>
      <c r="P197" s="6"/>
      <c r="Q197" s="6"/>
      <c r="R197" s="6"/>
      <c r="S197" s="6"/>
      <c r="T197" s="6"/>
      <c r="U197"/>
      <c r="V197"/>
      <c r="W197"/>
      <c r="X197"/>
    </row>
    <row r="198" spans="1:24" ht="33.75" x14ac:dyDescent="0.2">
      <c r="A198" s="18">
        <v>191</v>
      </c>
      <c r="B198" s="14" t="s">
        <v>353</v>
      </c>
      <c r="C198" s="5" t="s">
        <v>909</v>
      </c>
      <c r="D198" s="13">
        <v>142</v>
      </c>
      <c r="E198" s="14" t="s">
        <v>760</v>
      </c>
      <c r="F198" s="17" t="s">
        <v>42</v>
      </c>
      <c r="G198" s="18">
        <v>100</v>
      </c>
      <c r="H198" s="24">
        <v>77.099999999999994</v>
      </c>
      <c r="I198" s="23">
        <f t="shared" si="3"/>
        <v>7709.9999999999991</v>
      </c>
      <c r="J198" s="12" t="s">
        <v>43</v>
      </c>
      <c r="K198" s="12" t="s">
        <v>41</v>
      </c>
      <c r="L198" s="6"/>
      <c r="M198" s="6"/>
      <c r="N198" s="6"/>
      <c r="O198" s="6"/>
      <c r="P198" s="6"/>
      <c r="Q198" s="6"/>
      <c r="R198" s="6"/>
      <c r="S198" s="6"/>
      <c r="T198" s="6"/>
      <c r="U198"/>
      <c r="V198"/>
      <c r="W198"/>
      <c r="X198"/>
    </row>
    <row r="199" spans="1:24" ht="33.75" x14ac:dyDescent="0.2">
      <c r="A199" s="18">
        <v>192</v>
      </c>
      <c r="B199" s="14" t="s">
        <v>353</v>
      </c>
      <c r="C199" s="5" t="s">
        <v>909</v>
      </c>
      <c r="D199" s="13">
        <v>142</v>
      </c>
      <c r="E199" s="14" t="s">
        <v>761</v>
      </c>
      <c r="F199" s="17" t="s">
        <v>42</v>
      </c>
      <c r="G199" s="18">
        <v>100</v>
      </c>
      <c r="H199" s="24">
        <v>74.56</v>
      </c>
      <c r="I199" s="23">
        <f t="shared" si="3"/>
        <v>7456</v>
      </c>
      <c r="J199" s="12" t="s">
        <v>43</v>
      </c>
      <c r="K199" s="12" t="s">
        <v>41</v>
      </c>
      <c r="L199" s="6"/>
      <c r="M199" s="6"/>
      <c r="N199" s="6"/>
      <c r="O199" s="6"/>
      <c r="P199" s="6"/>
      <c r="Q199" s="6"/>
      <c r="R199" s="6"/>
      <c r="S199" s="6"/>
      <c r="T199" s="6"/>
      <c r="U199"/>
      <c r="V199"/>
      <c r="W199"/>
      <c r="X199"/>
    </row>
    <row r="200" spans="1:24" ht="33.75" x14ac:dyDescent="0.2">
      <c r="A200" s="18">
        <v>193</v>
      </c>
      <c r="B200" s="14" t="s">
        <v>70</v>
      </c>
      <c r="C200" s="5" t="s">
        <v>909</v>
      </c>
      <c r="D200" s="13">
        <v>142</v>
      </c>
      <c r="E200" s="14" t="s">
        <v>762</v>
      </c>
      <c r="F200" s="17" t="s">
        <v>22</v>
      </c>
      <c r="G200" s="18">
        <v>1000</v>
      </c>
      <c r="H200" s="24">
        <v>32.450000000000003</v>
      </c>
      <c r="I200" s="23">
        <f t="shared" si="3"/>
        <v>32450.000000000004</v>
      </c>
      <c r="J200" s="12" t="s">
        <v>43</v>
      </c>
      <c r="K200" s="12" t="s">
        <v>41</v>
      </c>
      <c r="L200" s="6"/>
      <c r="M200" s="6"/>
      <c r="N200" s="6"/>
      <c r="O200" s="6"/>
      <c r="P200" s="6"/>
      <c r="Q200" s="6"/>
      <c r="R200" s="6"/>
      <c r="S200" s="6"/>
      <c r="T200" s="6"/>
      <c r="U200"/>
      <c r="V200"/>
      <c r="W200"/>
      <c r="X200"/>
    </row>
    <row r="201" spans="1:24" ht="33.75" x14ac:dyDescent="0.2">
      <c r="A201" s="18">
        <v>194</v>
      </c>
      <c r="B201" s="14" t="s">
        <v>354</v>
      </c>
      <c r="C201" s="5" t="s">
        <v>909</v>
      </c>
      <c r="D201" s="13">
        <v>142</v>
      </c>
      <c r="E201" s="14" t="s">
        <v>763</v>
      </c>
      <c r="F201" s="17" t="s">
        <v>18</v>
      </c>
      <c r="G201" s="18">
        <v>1000</v>
      </c>
      <c r="H201" s="24">
        <v>29.56</v>
      </c>
      <c r="I201" s="23">
        <f t="shared" si="3"/>
        <v>29560</v>
      </c>
      <c r="J201" s="12" t="s">
        <v>43</v>
      </c>
      <c r="K201" s="12" t="s">
        <v>41</v>
      </c>
      <c r="L201" s="6"/>
      <c r="M201" s="6"/>
      <c r="N201" s="6"/>
      <c r="O201" s="6"/>
      <c r="P201" s="6"/>
      <c r="Q201" s="6"/>
      <c r="R201" s="6"/>
      <c r="S201" s="6"/>
      <c r="T201" s="6"/>
      <c r="U201"/>
      <c r="V201"/>
      <c r="W201"/>
      <c r="X201"/>
    </row>
    <row r="202" spans="1:24" ht="33.75" x14ac:dyDescent="0.2">
      <c r="A202" s="18">
        <v>195</v>
      </c>
      <c r="B202" s="14" t="s">
        <v>355</v>
      </c>
      <c r="C202" s="5" t="s">
        <v>909</v>
      </c>
      <c r="D202" s="13">
        <v>142</v>
      </c>
      <c r="E202" s="14" t="s">
        <v>764</v>
      </c>
      <c r="F202" s="17" t="s">
        <v>680</v>
      </c>
      <c r="G202" s="18">
        <v>200</v>
      </c>
      <c r="H202" s="24">
        <v>584.87</v>
      </c>
      <c r="I202" s="23">
        <f t="shared" si="3"/>
        <v>116974</v>
      </c>
      <c r="J202" s="12" t="s">
        <v>43</v>
      </c>
      <c r="K202" s="12" t="s">
        <v>41</v>
      </c>
      <c r="L202" s="6"/>
      <c r="M202" s="6"/>
      <c r="N202" s="6"/>
      <c r="O202" s="6"/>
      <c r="P202" s="6"/>
      <c r="Q202" s="6"/>
      <c r="R202" s="6"/>
      <c r="S202" s="6"/>
      <c r="T202" s="6"/>
      <c r="U202"/>
      <c r="V202"/>
      <c r="W202"/>
      <c r="X202"/>
    </row>
    <row r="203" spans="1:24" ht="56.25" x14ac:dyDescent="0.2">
      <c r="A203" s="18">
        <v>196</v>
      </c>
      <c r="B203" s="14" t="s">
        <v>356</v>
      </c>
      <c r="C203" s="5" t="s">
        <v>909</v>
      </c>
      <c r="D203" s="13">
        <v>142</v>
      </c>
      <c r="E203" s="14" t="s">
        <v>765</v>
      </c>
      <c r="F203" s="17" t="s">
        <v>680</v>
      </c>
      <c r="G203" s="18">
        <v>100</v>
      </c>
      <c r="H203" s="24">
        <v>383.25</v>
      </c>
      <c r="I203" s="23">
        <f t="shared" si="3"/>
        <v>38325</v>
      </c>
      <c r="J203" s="12" t="s">
        <v>43</v>
      </c>
      <c r="K203" s="12" t="s">
        <v>41</v>
      </c>
      <c r="L203" s="6"/>
      <c r="M203" s="6"/>
      <c r="N203" s="6"/>
      <c r="O203" s="6"/>
      <c r="P203" s="6"/>
      <c r="Q203" s="6"/>
      <c r="R203" s="6"/>
      <c r="S203" s="6"/>
      <c r="T203" s="6"/>
      <c r="U203"/>
      <c r="V203"/>
      <c r="W203"/>
      <c r="X203"/>
    </row>
    <row r="204" spans="1:24" ht="56.25" x14ac:dyDescent="0.2">
      <c r="A204" s="18">
        <v>197</v>
      </c>
      <c r="B204" s="14" t="s">
        <v>356</v>
      </c>
      <c r="C204" s="5" t="s">
        <v>909</v>
      </c>
      <c r="D204" s="13">
        <v>142</v>
      </c>
      <c r="E204" s="14" t="s">
        <v>766</v>
      </c>
      <c r="F204" s="17" t="s">
        <v>680</v>
      </c>
      <c r="G204" s="18">
        <v>100</v>
      </c>
      <c r="H204" s="24">
        <v>383.25</v>
      </c>
      <c r="I204" s="23">
        <f t="shared" si="3"/>
        <v>38325</v>
      </c>
      <c r="J204" s="12" t="s">
        <v>43</v>
      </c>
      <c r="K204" s="12" t="s">
        <v>41</v>
      </c>
      <c r="L204" s="6"/>
      <c r="M204" s="6"/>
      <c r="N204" s="6"/>
      <c r="O204" s="6"/>
      <c r="P204" s="6"/>
      <c r="Q204" s="6"/>
      <c r="R204" s="6"/>
      <c r="S204" s="6"/>
      <c r="T204" s="6"/>
      <c r="U204"/>
      <c r="V204"/>
      <c r="W204"/>
      <c r="X204"/>
    </row>
    <row r="205" spans="1:24" ht="56.25" x14ac:dyDescent="0.2">
      <c r="A205" s="18">
        <v>198</v>
      </c>
      <c r="B205" s="14" t="s">
        <v>356</v>
      </c>
      <c r="C205" s="5" t="s">
        <v>909</v>
      </c>
      <c r="D205" s="13">
        <v>142</v>
      </c>
      <c r="E205" s="14" t="s">
        <v>767</v>
      </c>
      <c r="F205" s="17" t="s">
        <v>680</v>
      </c>
      <c r="G205" s="18">
        <v>100</v>
      </c>
      <c r="H205" s="24">
        <v>383.25</v>
      </c>
      <c r="I205" s="23">
        <f t="shared" si="3"/>
        <v>38325</v>
      </c>
      <c r="J205" s="12" t="s">
        <v>43</v>
      </c>
      <c r="K205" s="12" t="s">
        <v>41</v>
      </c>
      <c r="L205" s="6"/>
      <c r="M205" s="6"/>
      <c r="N205" s="6"/>
      <c r="O205" s="6"/>
      <c r="P205" s="6"/>
      <c r="Q205" s="6"/>
      <c r="R205" s="6"/>
      <c r="S205" s="6"/>
      <c r="T205" s="6"/>
      <c r="U205"/>
      <c r="V205"/>
      <c r="W205"/>
      <c r="X205"/>
    </row>
    <row r="206" spans="1:24" ht="78.75" x14ac:dyDescent="0.2">
      <c r="A206" s="18">
        <v>199</v>
      </c>
      <c r="B206" s="14" t="s">
        <v>357</v>
      </c>
      <c r="C206" s="5" t="s">
        <v>909</v>
      </c>
      <c r="D206" s="13">
        <v>142</v>
      </c>
      <c r="E206" s="14" t="s">
        <v>768</v>
      </c>
      <c r="F206" s="17" t="s">
        <v>42</v>
      </c>
      <c r="G206" s="18">
        <v>300</v>
      </c>
      <c r="H206" s="24">
        <v>662.47</v>
      </c>
      <c r="I206" s="23">
        <f t="shared" si="3"/>
        <v>198741</v>
      </c>
      <c r="J206" s="12" t="s">
        <v>43</v>
      </c>
      <c r="K206" s="12" t="s">
        <v>41</v>
      </c>
      <c r="L206" s="6"/>
      <c r="M206" s="6"/>
      <c r="N206" s="6"/>
      <c r="O206" s="6"/>
      <c r="P206" s="6"/>
      <c r="Q206" s="6"/>
      <c r="R206" s="6"/>
      <c r="S206" s="6"/>
      <c r="T206" s="6"/>
      <c r="U206"/>
      <c r="V206"/>
      <c r="W206"/>
      <c r="X206"/>
    </row>
    <row r="207" spans="1:24" ht="56.25" x14ac:dyDescent="0.2">
      <c r="A207" s="18">
        <v>200</v>
      </c>
      <c r="B207" s="14" t="s">
        <v>358</v>
      </c>
      <c r="C207" s="5" t="s">
        <v>909</v>
      </c>
      <c r="D207" s="13">
        <v>142</v>
      </c>
      <c r="E207" s="14" t="s">
        <v>769</v>
      </c>
      <c r="F207" s="17" t="s">
        <v>42</v>
      </c>
      <c r="G207" s="18">
        <v>1000</v>
      </c>
      <c r="H207" s="24">
        <v>687.66</v>
      </c>
      <c r="I207" s="23">
        <f t="shared" ref="I207:I270" si="4">G207*H207</f>
        <v>687660</v>
      </c>
      <c r="J207" s="12" t="s">
        <v>43</v>
      </c>
      <c r="K207" s="12" t="s">
        <v>41</v>
      </c>
      <c r="L207" s="6"/>
      <c r="M207" s="6"/>
      <c r="N207" s="6"/>
      <c r="O207" s="6"/>
      <c r="P207" s="6"/>
      <c r="Q207" s="6"/>
      <c r="R207" s="6"/>
      <c r="S207" s="6"/>
      <c r="T207" s="6"/>
      <c r="U207"/>
      <c r="V207"/>
      <c r="W207"/>
      <c r="X207"/>
    </row>
    <row r="208" spans="1:24" ht="56.25" x14ac:dyDescent="0.2">
      <c r="A208" s="18">
        <v>201</v>
      </c>
      <c r="B208" s="14" t="s">
        <v>359</v>
      </c>
      <c r="C208" s="5" t="s">
        <v>909</v>
      </c>
      <c r="D208" s="13">
        <v>142</v>
      </c>
      <c r="E208" s="14" t="s">
        <v>770</v>
      </c>
      <c r="F208" s="17" t="s">
        <v>42</v>
      </c>
      <c r="G208" s="18">
        <v>400</v>
      </c>
      <c r="H208" s="24">
        <v>600.05999999999995</v>
      </c>
      <c r="I208" s="23">
        <f t="shared" si="4"/>
        <v>240023.99999999997</v>
      </c>
      <c r="J208" s="12" t="s">
        <v>43</v>
      </c>
      <c r="K208" s="12" t="s">
        <v>41</v>
      </c>
      <c r="L208" s="6"/>
      <c r="M208" s="6"/>
      <c r="N208" s="6"/>
      <c r="O208" s="6"/>
      <c r="P208" s="6"/>
      <c r="Q208" s="6"/>
      <c r="R208" s="6"/>
      <c r="S208" s="6"/>
      <c r="T208" s="6"/>
      <c r="U208"/>
      <c r="V208"/>
      <c r="W208"/>
      <c r="X208"/>
    </row>
    <row r="209" spans="1:24" ht="33.75" x14ac:dyDescent="0.2">
      <c r="A209" s="18">
        <v>202</v>
      </c>
      <c r="B209" s="14" t="s">
        <v>360</v>
      </c>
      <c r="C209" s="5" t="s">
        <v>909</v>
      </c>
      <c r="D209" s="13">
        <v>142</v>
      </c>
      <c r="E209" s="14" t="s">
        <v>771</v>
      </c>
      <c r="F209" s="17" t="s">
        <v>42</v>
      </c>
      <c r="G209" s="18">
        <v>15000</v>
      </c>
      <c r="H209" s="24">
        <v>63.69</v>
      </c>
      <c r="I209" s="23">
        <f t="shared" si="4"/>
        <v>955350</v>
      </c>
      <c r="J209" s="12" t="s">
        <v>43</v>
      </c>
      <c r="K209" s="12" t="s">
        <v>41</v>
      </c>
      <c r="L209" s="6"/>
      <c r="M209" s="6"/>
      <c r="N209" s="6"/>
      <c r="O209" s="6"/>
      <c r="P209" s="6"/>
      <c r="Q209" s="6"/>
      <c r="R209" s="6"/>
      <c r="S209" s="6"/>
      <c r="T209" s="6"/>
      <c r="U209"/>
      <c r="V209"/>
      <c r="W209"/>
      <c r="X209"/>
    </row>
    <row r="210" spans="1:24" ht="33.75" x14ac:dyDescent="0.2">
      <c r="A210" s="18">
        <v>203</v>
      </c>
      <c r="B210" s="14" t="s">
        <v>361</v>
      </c>
      <c r="C210" s="5" t="s">
        <v>909</v>
      </c>
      <c r="D210" s="13">
        <v>142</v>
      </c>
      <c r="E210" s="14" t="s">
        <v>772</v>
      </c>
      <c r="F210" s="17" t="s">
        <v>680</v>
      </c>
      <c r="G210" s="18">
        <v>100</v>
      </c>
      <c r="H210" s="24">
        <f>507.74/1.12</f>
        <v>453.33928571428567</v>
      </c>
      <c r="I210" s="23">
        <f t="shared" si="4"/>
        <v>45333.928571428565</v>
      </c>
      <c r="J210" s="12" t="s">
        <v>43</v>
      </c>
      <c r="K210" s="12" t="s">
        <v>41</v>
      </c>
      <c r="L210" s="6"/>
      <c r="M210" s="6"/>
      <c r="N210" s="6"/>
      <c r="O210" s="6"/>
      <c r="P210" s="6"/>
      <c r="Q210" s="6"/>
      <c r="R210" s="6"/>
      <c r="S210" s="6"/>
      <c r="T210" s="6"/>
      <c r="U210"/>
      <c r="V210"/>
      <c r="W210"/>
      <c r="X210"/>
    </row>
    <row r="211" spans="1:24" ht="33.75" x14ac:dyDescent="0.2">
      <c r="A211" s="18">
        <v>204</v>
      </c>
      <c r="B211" s="14" t="s">
        <v>362</v>
      </c>
      <c r="C211" s="5" t="s">
        <v>909</v>
      </c>
      <c r="D211" s="13">
        <v>142</v>
      </c>
      <c r="E211" s="14" t="s">
        <v>773</v>
      </c>
      <c r="F211" s="17" t="s">
        <v>20</v>
      </c>
      <c r="G211" s="18">
        <v>30</v>
      </c>
      <c r="H211" s="24">
        <v>1906.82</v>
      </c>
      <c r="I211" s="23">
        <f t="shared" si="4"/>
        <v>57204.6</v>
      </c>
      <c r="J211" s="12" t="s">
        <v>43</v>
      </c>
      <c r="K211" s="12" t="s">
        <v>41</v>
      </c>
      <c r="L211" s="6"/>
      <c r="M211" s="6"/>
      <c r="N211" s="6"/>
      <c r="O211" s="6"/>
      <c r="P211" s="6"/>
      <c r="Q211" s="6"/>
      <c r="R211" s="6"/>
      <c r="S211" s="6"/>
      <c r="T211" s="6"/>
      <c r="U211"/>
      <c r="V211"/>
      <c r="W211"/>
      <c r="X211"/>
    </row>
    <row r="212" spans="1:24" ht="33.75" x14ac:dyDescent="0.2">
      <c r="A212" s="18">
        <v>205</v>
      </c>
      <c r="B212" s="14" t="s">
        <v>72</v>
      </c>
      <c r="C212" s="5" t="s">
        <v>909</v>
      </c>
      <c r="D212" s="13">
        <v>142</v>
      </c>
      <c r="E212" s="14" t="s">
        <v>774</v>
      </c>
      <c r="F212" s="17" t="s">
        <v>18</v>
      </c>
      <c r="G212" s="18">
        <v>3000</v>
      </c>
      <c r="H212" s="24">
        <v>7.77</v>
      </c>
      <c r="I212" s="23">
        <f t="shared" si="4"/>
        <v>23310</v>
      </c>
      <c r="J212" s="12" t="s">
        <v>43</v>
      </c>
      <c r="K212" s="12" t="s">
        <v>41</v>
      </c>
      <c r="L212" s="6"/>
      <c r="M212" s="6"/>
      <c r="N212" s="6"/>
      <c r="O212" s="6"/>
      <c r="P212" s="6"/>
      <c r="Q212" s="6"/>
      <c r="R212" s="6"/>
      <c r="S212" s="6"/>
      <c r="T212" s="6"/>
      <c r="U212"/>
      <c r="V212"/>
      <c r="W212"/>
      <c r="X212"/>
    </row>
    <row r="213" spans="1:24" ht="33.75" x14ac:dyDescent="0.2">
      <c r="A213" s="18">
        <v>206</v>
      </c>
      <c r="B213" s="14" t="s">
        <v>363</v>
      </c>
      <c r="C213" s="5" t="s">
        <v>909</v>
      </c>
      <c r="D213" s="13">
        <v>142</v>
      </c>
      <c r="E213" s="14" t="s">
        <v>775</v>
      </c>
      <c r="F213" s="17" t="s">
        <v>20</v>
      </c>
      <c r="G213" s="18">
        <v>100</v>
      </c>
      <c r="H213" s="24">
        <v>822.07</v>
      </c>
      <c r="I213" s="23">
        <f t="shared" si="4"/>
        <v>82207</v>
      </c>
      <c r="J213" s="12" t="s">
        <v>43</v>
      </c>
      <c r="K213" s="12" t="s">
        <v>41</v>
      </c>
      <c r="L213" s="6"/>
      <c r="M213" s="6"/>
      <c r="N213" s="6"/>
      <c r="O213" s="6"/>
      <c r="P213" s="6"/>
      <c r="Q213" s="6"/>
      <c r="R213" s="6"/>
      <c r="S213" s="6"/>
      <c r="T213" s="6"/>
      <c r="U213"/>
      <c r="V213"/>
      <c r="W213"/>
      <c r="X213"/>
    </row>
    <row r="214" spans="1:24" ht="33.75" x14ac:dyDescent="0.2">
      <c r="A214" s="18">
        <v>207</v>
      </c>
      <c r="B214" s="14" t="s">
        <v>73</v>
      </c>
      <c r="C214" s="5" t="s">
        <v>909</v>
      </c>
      <c r="D214" s="13">
        <v>142</v>
      </c>
      <c r="E214" s="14" t="s">
        <v>776</v>
      </c>
      <c r="F214" s="17" t="s">
        <v>21</v>
      </c>
      <c r="G214" s="18">
        <v>2000</v>
      </c>
      <c r="H214" s="24">
        <v>65.7</v>
      </c>
      <c r="I214" s="23">
        <f t="shared" si="4"/>
        <v>131400</v>
      </c>
      <c r="J214" s="12" t="s">
        <v>43</v>
      </c>
      <c r="K214" s="12" t="s">
        <v>41</v>
      </c>
      <c r="L214" s="6"/>
      <c r="M214" s="6"/>
      <c r="N214" s="6"/>
      <c r="O214" s="6"/>
      <c r="P214" s="6"/>
      <c r="Q214" s="6"/>
      <c r="R214" s="6"/>
      <c r="S214" s="6"/>
      <c r="T214" s="6"/>
      <c r="U214"/>
      <c r="V214"/>
      <c r="W214"/>
      <c r="X214"/>
    </row>
    <row r="215" spans="1:24" ht="33.75" x14ac:dyDescent="0.2">
      <c r="A215" s="18">
        <v>208</v>
      </c>
      <c r="B215" s="14" t="s">
        <v>364</v>
      </c>
      <c r="C215" s="5" t="s">
        <v>909</v>
      </c>
      <c r="D215" s="13">
        <v>142</v>
      </c>
      <c r="E215" s="14" t="s">
        <v>777</v>
      </c>
      <c r="F215" s="17" t="s">
        <v>42</v>
      </c>
      <c r="G215" s="18">
        <v>6000</v>
      </c>
      <c r="H215" s="24">
        <v>240.9</v>
      </c>
      <c r="I215" s="23">
        <f t="shared" si="4"/>
        <v>1445400</v>
      </c>
      <c r="J215" s="12" t="s">
        <v>43</v>
      </c>
      <c r="K215" s="12" t="s">
        <v>41</v>
      </c>
      <c r="L215" s="6"/>
      <c r="M215" s="6"/>
      <c r="N215" s="6"/>
      <c r="O215" s="6"/>
      <c r="P215" s="6"/>
      <c r="Q215" s="6"/>
      <c r="R215" s="6"/>
      <c r="S215" s="6"/>
      <c r="T215" s="6"/>
      <c r="U215"/>
      <c r="V215"/>
      <c r="W215"/>
      <c r="X215"/>
    </row>
    <row r="216" spans="1:24" ht="33.75" x14ac:dyDescent="0.2">
      <c r="A216" s="18">
        <v>209</v>
      </c>
      <c r="B216" s="14" t="s">
        <v>74</v>
      </c>
      <c r="C216" s="5" t="s">
        <v>909</v>
      </c>
      <c r="D216" s="13">
        <v>142</v>
      </c>
      <c r="E216" s="14" t="s">
        <v>778</v>
      </c>
      <c r="F216" s="17" t="s">
        <v>17</v>
      </c>
      <c r="G216" s="18">
        <v>70</v>
      </c>
      <c r="H216" s="24">
        <v>321.05</v>
      </c>
      <c r="I216" s="23">
        <f t="shared" si="4"/>
        <v>22473.5</v>
      </c>
      <c r="J216" s="12" t="s">
        <v>43</v>
      </c>
      <c r="K216" s="12" t="s">
        <v>41</v>
      </c>
      <c r="L216" s="6"/>
      <c r="M216" s="6"/>
      <c r="N216" s="6"/>
      <c r="O216" s="6"/>
      <c r="P216" s="6"/>
      <c r="Q216" s="6"/>
      <c r="R216" s="6"/>
      <c r="S216" s="6"/>
      <c r="T216" s="6"/>
      <c r="U216"/>
      <c r="V216"/>
      <c r="W216"/>
      <c r="X216"/>
    </row>
    <row r="217" spans="1:24" ht="33.75" x14ac:dyDescent="0.2">
      <c r="A217" s="18">
        <v>210</v>
      </c>
      <c r="B217" s="14" t="s">
        <v>365</v>
      </c>
      <c r="C217" s="5" t="s">
        <v>909</v>
      </c>
      <c r="D217" s="13">
        <v>142</v>
      </c>
      <c r="E217" s="14" t="s">
        <v>779</v>
      </c>
      <c r="F217" s="17" t="s">
        <v>18</v>
      </c>
      <c r="G217" s="18">
        <v>3000</v>
      </c>
      <c r="H217" s="24">
        <v>14.78</v>
      </c>
      <c r="I217" s="23">
        <f t="shared" si="4"/>
        <v>44340</v>
      </c>
      <c r="J217" s="12" t="s">
        <v>43</v>
      </c>
      <c r="K217" s="12" t="s">
        <v>41</v>
      </c>
      <c r="L217" s="6"/>
      <c r="M217" s="6"/>
      <c r="N217" s="6"/>
      <c r="O217" s="6"/>
      <c r="P217" s="6"/>
      <c r="Q217" s="6"/>
      <c r="R217" s="6"/>
      <c r="S217" s="6"/>
      <c r="T217" s="6"/>
      <c r="U217"/>
      <c r="V217"/>
      <c r="W217"/>
      <c r="X217"/>
    </row>
    <row r="218" spans="1:24" ht="33.75" x14ac:dyDescent="0.2">
      <c r="A218" s="18">
        <v>211</v>
      </c>
      <c r="B218" s="14" t="s">
        <v>77</v>
      </c>
      <c r="C218" s="5" t="s">
        <v>909</v>
      </c>
      <c r="D218" s="13">
        <v>142</v>
      </c>
      <c r="E218" s="14" t="s">
        <v>780</v>
      </c>
      <c r="F218" s="17" t="s">
        <v>22</v>
      </c>
      <c r="G218" s="18">
        <v>1000</v>
      </c>
      <c r="H218" s="24">
        <v>7.47</v>
      </c>
      <c r="I218" s="23">
        <f t="shared" si="4"/>
        <v>7470</v>
      </c>
      <c r="J218" s="12" t="s">
        <v>43</v>
      </c>
      <c r="K218" s="12" t="s">
        <v>41</v>
      </c>
      <c r="L218" s="6"/>
      <c r="M218" s="6"/>
      <c r="N218" s="6"/>
      <c r="O218" s="6"/>
      <c r="P218" s="6"/>
      <c r="Q218" s="6"/>
      <c r="R218" s="6"/>
      <c r="S218" s="6"/>
      <c r="T218" s="6"/>
      <c r="U218"/>
      <c r="V218"/>
      <c r="W218"/>
      <c r="X218"/>
    </row>
    <row r="219" spans="1:24" ht="33.75" x14ac:dyDescent="0.2">
      <c r="A219" s="18">
        <v>212</v>
      </c>
      <c r="B219" s="14" t="s">
        <v>75</v>
      </c>
      <c r="C219" s="5" t="s">
        <v>909</v>
      </c>
      <c r="D219" s="13">
        <v>142</v>
      </c>
      <c r="E219" s="14" t="s">
        <v>781</v>
      </c>
      <c r="F219" s="17" t="s">
        <v>17</v>
      </c>
      <c r="G219" s="18">
        <v>200</v>
      </c>
      <c r="H219" s="24">
        <v>7588.56</v>
      </c>
      <c r="I219" s="23">
        <f t="shared" si="4"/>
        <v>1517712</v>
      </c>
      <c r="J219" s="12" t="s">
        <v>43</v>
      </c>
      <c r="K219" s="12" t="s">
        <v>41</v>
      </c>
      <c r="L219" s="6"/>
      <c r="M219" s="6"/>
      <c r="N219" s="6"/>
      <c r="O219" s="6"/>
      <c r="P219" s="6"/>
      <c r="Q219" s="6"/>
      <c r="R219" s="6"/>
      <c r="S219" s="6"/>
      <c r="T219" s="6"/>
      <c r="U219"/>
      <c r="V219"/>
      <c r="W219"/>
      <c r="X219"/>
    </row>
    <row r="220" spans="1:24" ht="33.75" x14ac:dyDescent="0.2">
      <c r="A220" s="18">
        <v>213</v>
      </c>
      <c r="B220" s="14" t="s">
        <v>76</v>
      </c>
      <c r="C220" s="5" t="s">
        <v>909</v>
      </c>
      <c r="D220" s="13">
        <v>142</v>
      </c>
      <c r="E220" s="14" t="s">
        <v>782</v>
      </c>
      <c r="F220" s="17" t="s">
        <v>18</v>
      </c>
      <c r="G220" s="18">
        <v>2000</v>
      </c>
      <c r="H220" s="24">
        <v>12.59</v>
      </c>
      <c r="I220" s="23">
        <f t="shared" si="4"/>
        <v>25180</v>
      </c>
      <c r="J220" s="12" t="s">
        <v>43</v>
      </c>
      <c r="K220" s="12" t="s">
        <v>41</v>
      </c>
      <c r="L220" s="6"/>
      <c r="M220" s="6"/>
      <c r="N220" s="6"/>
      <c r="O220" s="6"/>
      <c r="P220" s="6"/>
      <c r="Q220" s="6"/>
      <c r="R220" s="6"/>
      <c r="S220" s="6"/>
      <c r="T220" s="6"/>
      <c r="U220"/>
      <c r="V220"/>
      <c r="W220"/>
      <c r="X220"/>
    </row>
    <row r="221" spans="1:24" ht="33.75" x14ac:dyDescent="0.2">
      <c r="A221" s="18">
        <v>214</v>
      </c>
      <c r="B221" s="14" t="s">
        <v>77</v>
      </c>
      <c r="C221" s="5" t="s">
        <v>909</v>
      </c>
      <c r="D221" s="13">
        <v>142</v>
      </c>
      <c r="E221" s="14" t="s">
        <v>783</v>
      </c>
      <c r="F221" s="17" t="s">
        <v>20</v>
      </c>
      <c r="G221" s="18">
        <v>3000</v>
      </c>
      <c r="H221" s="24">
        <v>56.06</v>
      </c>
      <c r="I221" s="23">
        <f t="shared" si="4"/>
        <v>168180</v>
      </c>
      <c r="J221" s="12" t="s">
        <v>43</v>
      </c>
      <c r="K221" s="12" t="s">
        <v>41</v>
      </c>
      <c r="L221" s="6"/>
      <c r="M221" s="6"/>
      <c r="N221" s="6"/>
      <c r="O221" s="6"/>
      <c r="P221" s="6"/>
      <c r="Q221" s="6"/>
      <c r="R221" s="6"/>
      <c r="S221" s="6"/>
      <c r="T221" s="6"/>
      <c r="U221"/>
      <c r="V221"/>
      <c r="W221"/>
      <c r="X221"/>
    </row>
    <row r="222" spans="1:24" ht="33.75" x14ac:dyDescent="0.2">
      <c r="A222" s="18">
        <v>215</v>
      </c>
      <c r="B222" s="14" t="s">
        <v>78</v>
      </c>
      <c r="C222" s="5" t="s">
        <v>909</v>
      </c>
      <c r="D222" s="13">
        <v>142</v>
      </c>
      <c r="E222" s="14" t="s">
        <v>784</v>
      </c>
      <c r="F222" s="17" t="s">
        <v>18</v>
      </c>
      <c r="G222" s="18">
        <v>3000</v>
      </c>
      <c r="H222" s="24">
        <v>73.510000000000005</v>
      </c>
      <c r="I222" s="23">
        <f t="shared" si="4"/>
        <v>220530.00000000003</v>
      </c>
      <c r="J222" s="12" t="s">
        <v>43</v>
      </c>
      <c r="K222" s="12" t="s">
        <v>41</v>
      </c>
      <c r="L222" s="6"/>
      <c r="M222" s="6"/>
      <c r="N222" s="6"/>
      <c r="O222" s="6"/>
      <c r="P222" s="6"/>
      <c r="Q222" s="6"/>
      <c r="R222" s="6"/>
      <c r="S222" s="6"/>
      <c r="T222" s="6"/>
      <c r="U222"/>
      <c r="V222"/>
      <c r="W222"/>
      <c r="X222"/>
    </row>
    <row r="223" spans="1:24" ht="33.75" x14ac:dyDescent="0.2">
      <c r="A223" s="18">
        <v>216</v>
      </c>
      <c r="B223" s="14" t="s">
        <v>79</v>
      </c>
      <c r="C223" s="5" t="s">
        <v>909</v>
      </c>
      <c r="D223" s="13">
        <v>142</v>
      </c>
      <c r="E223" s="14" t="s">
        <v>785</v>
      </c>
      <c r="F223" s="17" t="s">
        <v>18</v>
      </c>
      <c r="G223" s="18">
        <v>2000</v>
      </c>
      <c r="H223" s="24">
        <v>29.38</v>
      </c>
      <c r="I223" s="23">
        <f t="shared" si="4"/>
        <v>58760</v>
      </c>
      <c r="J223" s="12" t="s">
        <v>43</v>
      </c>
      <c r="K223" s="12" t="s">
        <v>41</v>
      </c>
      <c r="L223" s="6"/>
      <c r="M223" s="6"/>
      <c r="N223" s="6"/>
      <c r="O223" s="6"/>
      <c r="P223" s="6"/>
      <c r="Q223" s="6"/>
      <c r="R223" s="6"/>
      <c r="S223" s="6"/>
      <c r="T223" s="6"/>
      <c r="U223"/>
      <c r="V223"/>
      <c r="W223"/>
      <c r="X223"/>
    </row>
    <row r="224" spans="1:24" ht="33.75" x14ac:dyDescent="0.2">
      <c r="A224" s="18">
        <v>217</v>
      </c>
      <c r="B224" s="14" t="s">
        <v>366</v>
      </c>
      <c r="C224" s="5" t="s">
        <v>909</v>
      </c>
      <c r="D224" s="13">
        <v>142</v>
      </c>
      <c r="E224" s="14" t="s">
        <v>786</v>
      </c>
      <c r="F224" s="17" t="s">
        <v>18</v>
      </c>
      <c r="G224" s="18">
        <v>1920</v>
      </c>
      <c r="H224" s="24">
        <v>18.72</v>
      </c>
      <c r="I224" s="23">
        <f t="shared" si="4"/>
        <v>35942.399999999994</v>
      </c>
      <c r="J224" s="12" t="s">
        <v>43</v>
      </c>
      <c r="K224" s="12" t="s">
        <v>41</v>
      </c>
      <c r="L224" s="6"/>
      <c r="M224" s="6"/>
      <c r="N224" s="6"/>
      <c r="O224" s="6"/>
      <c r="P224" s="6"/>
      <c r="Q224" s="6"/>
      <c r="R224" s="6"/>
      <c r="S224" s="6"/>
      <c r="T224" s="6"/>
      <c r="U224"/>
      <c r="V224"/>
      <c r="W224"/>
      <c r="X224"/>
    </row>
    <row r="225" spans="1:24" ht="33.75" x14ac:dyDescent="0.2">
      <c r="A225" s="18">
        <v>218</v>
      </c>
      <c r="B225" s="14" t="s">
        <v>80</v>
      </c>
      <c r="C225" s="5" t="s">
        <v>909</v>
      </c>
      <c r="D225" s="13">
        <v>142</v>
      </c>
      <c r="E225" s="14" t="s">
        <v>787</v>
      </c>
      <c r="F225" s="17" t="s">
        <v>21</v>
      </c>
      <c r="G225" s="18">
        <v>6000</v>
      </c>
      <c r="H225" s="24">
        <v>27.1</v>
      </c>
      <c r="I225" s="23">
        <f t="shared" si="4"/>
        <v>162600</v>
      </c>
      <c r="J225" s="12" t="s">
        <v>43</v>
      </c>
      <c r="K225" s="12" t="s">
        <v>41</v>
      </c>
      <c r="L225" s="6"/>
      <c r="M225" s="6"/>
      <c r="N225" s="6"/>
      <c r="O225" s="6"/>
      <c r="P225" s="6"/>
      <c r="Q225" s="6"/>
      <c r="R225" s="6"/>
      <c r="S225" s="6"/>
      <c r="T225" s="6"/>
      <c r="U225"/>
      <c r="V225"/>
      <c r="W225"/>
      <c r="X225"/>
    </row>
    <row r="226" spans="1:24" ht="33.75" x14ac:dyDescent="0.2">
      <c r="A226" s="18">
        <v>219</v>
      </c>
      <c r="B226" s="14" t="s">
        <v>81</v>
      </c>
      <c r="C226" s="5" t="s">
        <v>909</v>
      </c>
      <c r="D226" s="13">
        <v>142</v>
      </c>
      <c r="E226" s="14" t="s">
        <v>788</v>
      </c>
      <c r="F226" s="17" t="s">
        <v>22</v>
      </c>
      <c r="G226" s="18">
        <v>7500</v>
      </c>
      <c r="H226" s="24">
        <v>20.25</v>
      </c>
      <c r="I226" s="23">
        <f t="shared" si="4"/>
        <v>151875</v>
      </c>
      <c r="J226" s="12" t="s">
        <v>43</v>
      </c>
      <c r="K226" s="12" t="s">
        <v>41</v>
      </c>
      <c r="L226" s="6"/>
      <c r="M226" s="6"/>
      <c r="N226" s="6"/>
      <c r="O226" s="6"/>
      <c r="P226" s="6"/>
      <c r="Q226" s="6"/>
      <c r="R226" s="6"/>
      <c r="S226" s="6"/>
      <c r="T226" s="6"/>
      <c r="U226"/>
      <c r="V226"/>
      <c r="W226"/>
      <c r="X226"/>
    </row>
    <row r="227" spans="1:24" ht="33.75" x14ac:dyDescent="0.2">
      <c r="A227" s="18">
        <v>220</v>
      </c>
      <c r="B227" s="14" t="s">
        <v>81</v>
      </c>
      <c r="C227" s="5" t="s">
        <v>909</v>
      </c>
      <c r="D227" s="13">
        <v>142</v>
      </c>
      <c r="E227" s="14" t="s">
        <v>789</v>
      </c>
      <c r="F227" s="17" t="s">
        <v>21</v>
      </c>
      <c r="G227" s="18">
        <v>3000</v>
      </c>
      <c r="H227" s="24">
        <v>134.88</v>
      </c>
      <c r="I227" s="23">
        <f t="shared" si="4"/>
        <v>404640</v>
      </c>
      <c r="J227" s="12" t="s">
        <v>43</v>
      </c>
      <c r="K227" s="12" t="s">
        <v>41</v>
      </c>
      <c r="L227" s="6"/>
      <c r="M227" s="6"/>
      <c r="N227" s="6"/>
      <c r="O227" s="6"/>
      <c r="P227" s="6"/>
      <c r="Q227" s="6"/>
      <c r="R227" s="6"/>
      <c r="S227" s="6"/>
      <c r="T227" s="6"/>
      <c r="U227"/>
      <c r="V227"/>
      <c r="W227"/>
      <c r="X227"/>
    </row>
    <row r="228" spans="1:24" ht="33.75" x14ac:dyDescent="0.2">
      <c r="A228" s="18">
        <v>221</v>
      </c>
      <c r="B228" s="14" t="s">
        <v>82</v>
      </c>
      <c r="C228" s="5" t="s">
        <v>909</v>
      </c>
      <c r="D228" s="13">
        <v>142</v>
      </c>
      <c r="E228" s="14" t="s">
        <v>739</v>
      </c>
      <c r="F228" s="17" t="s">
        <v>18</v>
      </c>
      <c r="G228" s="18">
        <v>2000</v>
      </c>
      <c r="H228" s="24">
        <v>10.62</v>
      </c>
      <c r="I228" s="23">
        <f t="shared" si="4"/>
        <v>21240</v>
      </c>
      <c r="J228" s="12" t="s">
        <v>43</v>
      </c>
      <c r="K228" s="12" t="s">
        <v>41</v>
      </c>
      <c r="L228" s="6"/>
      <c r="M228" s="6"/>
      <c r="N228" s="6"/>
      <c r="O228" s="6"/>
      <c r="P228" s="6"/>
      <c r="Q228" s="6"/>
      <c r="R228" s="6"/>
      <c r="S228" s="6"/>
      <c r="T228" s="6"/>
      <c r="U228"/>
      <c r="V228"/>
      <c r="W228"/>
      <c r="X228"/>
    </row>
    <row r="229" spans="1:24" ht="33.75" x14ac:dyDescent="0.2">
      <c r="A229" s="18">
        <v>222</v>
      </c>
      <c r="B229" s="14" t="s">
        <v>367</v>
      </c>
      <c r="C229" s="5" t="s">
        <v>909</v>
      </c>
      <c r="D229" s="13">
        <v>142</v>
      </c>
      <c r="E229" s="14" t="s">
        <v>790</v>
      </c>
      <c r="F229" s="17" t="s">
        <v>18</v>
      </c>
      <c r="G229" s="18">
        <v>1000</v>
      </c>
      <c r="H229" s="24">
        <v>15.98</v>
      </c>
      <c r="I229" s="23">
        <f t="shared" si="4"/>
        <v>15980</v>
      </c>
      <c r="J229" s="12" t="s">
        <v>43</v>
      </c>
      <c r="K229" s="12" t="s">
        <v>41</v>
      </c>
      <c r="L229" s="6"/>
      <c r="M229" s="6"/>
      <c r="N229" s="6"/>
      <c r="O229" s="6"/>
      <c r="P229" s="6"/>
      <c r="Q229" s="6"/>
      <c r="R229" s="6"/>
      <c r="S229" s="6"/>
      <c r="T229" s="6"/>
      <c r="U229"/>
      <c r="V229"/>
      <c r="W229"/>
      <c r="X229"/>
    </row>
    <row r="230" spans="1:24" ht="33.75" x14ac:dyDescent="0.2">
      <c r="A230" s="18">
        <v>223</v>
      </c>
      <c r="B230" s="14" t="s">
        <v>368</v>
      </c>
      <c r="C230" s="5" t="s">
        <v>909</v>
      </c>
      <c r="D230" s="13">
        <v>142</v>
      </c>
      <c r="E230" s="14" t="s">
        <v>791</v>
      </c>
      <c r="F230" s="17" t="s">
        <v>49</v>
      </c>
      <c r="G230" s="18">
        <v>2000</v>
      </c>
      <c r="H230" s="24">
        <v>49.82</v>
      </c>
      <c r="I230" s="23">
        <f t="shared" si="4"/>
        <v>99640</v>
      </c>
      <c r="J230" s="12" t="s">
        <v>43</v>
      </c>
      <c r="K230" s="12" t="s">
        <v>41</v>
      </c>
      <c r="L230" s="6"/>
      <c r="M230" s="6"/>
      <c r="N230" s="6"/>
      <c r="O230" s="6"/>
      <c r="P230" s="6"/>
      <c r="Q230" s="6"/>
      <c r="R230" s="6"/>
      <c r="S230" s="6"/>
      <c r="T230" s="6"/>
      <c r="U230"/>
      <c r="V230"/>
      <c r="W230"/>
      <c r="X230"/>
    </row>
    <row r="231" spans="1:24" ht="33.75" x14ac:dyDescent="0.2">
      <c r="A231" s="18">
        <v>224</v>
      </c>
      <c r="B231" s="14" t="s">
        <v>368</v>
      </c>
      <c r="C231" s="5" t="s">
        <v>909</v>
      </c>
      <c r="D231" s="13">
        <v>142</v>
      </c>
      <c r="E231" s="14" t="s">
        <v>921</v>
      </c>
      <c r="F231" s="17" t="s">
        <v>49</v>
      </c>
      <c r="G231" s="18">
        <v>2000</v>
      </c>
      <c r="H231" s="24">
        <v>49.82</v>
      </c>
      <c r="I231" s="23">
        <f t="shared" si="4"/>
        <v>99640</v>
      </c>
      <c r="J231" s="12" t="s">
        <v>43</v>
      </c>
      <c r="K231" s="12" t="s">
        <v>41</v>
      </c>
      <c r="L231" s="6"/>
      <c r="M231" s="6"/>
      <c r="N231" s="6"/>
      <c r="O231" s="6"/>
      <c r="P231" s="6"/>
      <c r="Q231" s="6"/>
      <c r="R231" s="6"/>
      <c r="S231" s="6"/>
      <c r="T231" s="6"/>
      <c r="U231"/>
      <c r="V231"/>
      <c r="W231"/>
      <c r="X231"/>
    </row>
    <row r="232" spans="1:24" ht="33.75" x14ac:dyDescent="0.2">
      <c r="A232" s="18">
        <v>225</v>
      </c>
      <c r="B232" s="14" t="s">
        <v>368</v>
      </c>
      <c r="C232" s="5" t="s">
        <v>909</v>
      </c>
      <c r="D232" s="13">
        <v>142</v>
      </c>
      <c r="E232" s="14" t="s">
        <v>922</v>
      </c>
      <c r="F232" s="17" t="s">
        <v>49</v>
      </c>
      <c r="G232" s="18">
        <v>2000</v>
      </c>
      <c r="H232" s="24">
        <v>49.82</v>
      </c>
      <c r="I232" s="23">
        <f t="shared" si="4"/>
        <v>99640</v>
      </c>
      <c r="J232" s="12" t="s">
        <v>43</v>
      </c>
      <c r="K232" s="12" t="s">
        <v>41</v>
      </c>
      <c r="L232" s="6"/>
      <c r="M232" s="6"/>
      <c r="N232" s="6"/>
      <c r="O232" s="6"/>
      <c r="P232" s="6"/>
      <c r="Q232" s="6"/>
      <c r="R232" s="6"/>
      <c r="S232" s="6"/>
      <c r="T232" s="6"/>
      <c r="U232"/>
      <c r="V232"/>
      <c r="W232"/>
      <c r="X232"/>
    </row>
    <row r="233" spans="1:24" ht="33.75" x14ac:dyDescent="0.2">
      <c r="A233" s="18">
        <v>226</v>
      </c>
      <c r="B233" s="14" t="s">
        <v>83</v>
      </c>
      <c r="C233" s="5" t="s">
        <v>909</v>
      </c>
      <c r="D233" s="13">
        <v>142</v>
      </c>
      <c r="E233" s="14" t="s">
        <v>794</v>
      </c>
      <c r="F233" s="17" t="s">
        <v>49</v>
      </c>
      <c r="G233" s="18">
        <v>15000</v>
      </c>
      <c r="H233" s="24">
        <v>37.94</v>
      </c>
      <c r="I233" s="23">
        <f t="shared" si="4"/>
        <v>569100</v>
      </c>
      <c r="J233" s="12" t="s">
        <v>43</v>
      </c>
      <c r="K233" s="12" t="s">
        <v>41</v>
      </c>
      <c r="L233" s="6"/>
      <c r="M233" s="6"/>
      <c r="N233" s="6"/>
      <c r="O233" s="6"/>
      <c r="P233" s="6"/>
      <c r="Q233" s="6"/>
      <c r="R233" s="6"/>
      <c r="S233" s="6"/>
      <c r="T233" s="6"/>
      <c r="U233"/>
      <c r="V233"/>
      <c r="W233"/>
      <c r="X233"/>
    </row>
    <row r="234" spans="1:24" ht="33.75" x14ac:dyDescent="0.2">
      <c r="A234" s="18">
        <v>227</v>
      </c>
      <c r="B234" s="14" t="s">
        <v>83</v>
      </c>
      <c r="C234" s="5" t="s">
        <v>909</v>
      </c>
      <c r="D234" s="13">
        <v>142</v>
      </c>
      <c r="E234" s="14" t="s">
        <v>791</v>
      </c>
      <c r="F234" s="17" t="s">
        <v>49</v>
      </c>
      <c r="G234" s="18">
        <v>20000</v>
      </c>
      <c r="H234" s="24">
        <v>34.159999999999997</v>
      </c>
      <c r="I234" s="23">
        <f t="shared" si="4"/>
        <v>683199.99999999988</v>
      </c>
      <c r="J234" s="12" t="s">
        <v>43</v>
      </c>
      <c r="K234" s="12" t="s">
        <v>41</v>
      </c>
      <c r="L234" s="6"/>
      <c r="M234" s="6"/>
      <c r="N234" s="6"/>
      <c r="O234" s="6"/>
      <c r="P234" s="6"/>
      <c r="Q234" s="6"/>
      <c r="R234" s="6"/>
      <c r="S234" s="6"/>
      <c r="T234" s="6"/>
      <c r="U234"/>
      <c r="V234"/>
      <c r="W234"/>
      <c r="X234"/>
    </row>
    <row r="235" spans="1:24" ht="33.75" x14ac:dyDescent="0.2">
      <c r="A235" s="18">
        <v>228</v>
      </c>
      <c r="B235" s="14" t="s">
        <v>83</v>
      </c>
      <c r="C235" s="5" t="s">
        <v>909</v>
      </c>
      <c r="D235" s="13">
        <v>142</v>
      </c>
      <c r="E235" s="14" t="s">
        <v>792</v>
      </c>
      <c r="F235" s="15" t="s">
        <v>49</v>
      </c>
      <c r="G235" s="5">
        <v>10000</v>
      </c>
      <c r="H235" s="25">
        <v>37.94</v>
      </c>
      <c r="I235" s="23">
        <f t="shared" si="4"/>
        <v>379400</v>
      </c>
      <c r="J235" s="12" t="s">
        <v>43</v>
      </c>
      <c r="K235" s="12" t="s">
        <v>41</v>
      </c>
      <c r="L235" s="6"/>
      <c r="M235" s="6"/>
      <c r="N235" s="6"/>
      <c r="O235" s="6"/>
      <c r="P235" s="6"/>
      <c r="Q235" s="6"/>
      <c r="R235" s="6"/>
      <c r="S235" s="6"/>
      <c r="T235" s="6"/>
      <c r="U235"/>
      <c r="V235"/>
      <c r="W235"/>
      <c r="X235"/>
    </row>
    <row r="236" spans="1:24" ht="33.75" x14ac:dyDescent="0.2">
      <c r="A236" s="18">
        <v>229</v>
      </c>
      <c r="B236" s="14" t="s">
        <v>83</v>
      </c>
      <c r="C236" s="5" t="s">
        <v>909</v>
      </c>
      <c r="D236" s="13">
        <v>142</v>
      </c>
      <c r="E236" s="14" t="s">
        <v>793</v>
      </c>
      <c r="F236" s="15" t="s">
        <v>49</v>
      </c>
      <c r="G236" s="5">
        <v>20000</v>
      </c>
      <c r="H236" s="25">
        <v>34.159999999999997</v>
      </c>
      <c r="I236" s="23">
        <f t="shared" si="4"/>
        <v>683199.99999999988</v>
      </c>
      <c r="J236" s="12" t="s">
        <v>43</v>
      </c>
      <c r="K236" s="12" t="s">
        <v>41</v>
      </c>
      <c r="L236" s="6"/>
      <c r="M236" s="6"/>
      <c r="N236" s="6"/>
      <c r="O236" s="6"/>
      <c r="P236" s="6"/>
      <c r="Q236" s="6"/>
      <c r="R236" s="6"/>
      <c r="S236" s="6"/>
      <c r="T236" s="6"/>
      <c r="U236"/>
      <c r="V236"/>
      <c r="W236"/>
      <c r="X236"/>
    </row>
    <row r="237" spans="1:24" ht="33.75" x14ac:dyDescent="0.2">
      <c r="A237" s="18">
        <v>230</v>
      </c>
      <c r="B237" s="14" t="s">
        <v>83</v>
      </c>
      <c r="C237" s="5" t="s">
        <v>909</v>
      </c>
      <c r="D237" s="13">
        <v>142</v>
      </c>
      <c r="E237" s="14" t="s">
        <v>794</v>
      </c>
      <c r="F237" s="15" t="s">
        <v>49</v>
      </c>
      <c r="G237" s="5">
        <v>15000</v>
      </c>
      <c r="H237" s="25">
        <v>37.94</v>
      </c>
      <c r="I237" s="23">
        <f t="shared" si="4"/>
        <v>569100</v>
      </c>
      <c r="J237" s="12" t="s">
        <v>43</v>
      </c>
      <c r="K237" s="12" t="s">
        <v>41</v>
      </c>
      <c r="L237" s="6"/>
      <c r="M237" s="6"/>
      <c r="N237" s="6"/>
      <c r="O237" s="6"/>
      <c r="P237" s="6"/>
      <c r="Q237" s="6"/>
      <c r="R237" s="6"/>
      <c r="S237" s="6"/>
      <c r="T237" s="6"/>
      <c r="U237"/>
      <c r="V237"/>
      <c r="W237"/>
      <c r="X237"/>
    </row>
    <row r="238" spans="1:24" ht="33.75" x14ac:dyDescent="0.2">
      <c r="A238" s="18">
        <v>231</v>
      </c>
      <c r="B238" s="14" t="s">
        <v>84</v>
      </c>
      <c r="C238" s="5" t="s">
        <v>909</v>
      </c>
      <c r="D238" s="13">
        <v>142</v>
      </c>
      <c r="E238" s="14" t="s">
        <v>795</v>
      </c>
      <c r="F238" s="15" t="s">
        <v>49</v>
      </c>
      <c r="G238" s="5">
        <v>2000</v>
      </c>
      <c r="H238" s="25">
        <v>50.09</v>
      </c>
      <c r="I238" s="23">
        <f t="shared" si="4"/>
        <v>100180</v>
      </c>
      <c r="J238" s="12" t="s">
        <v>43</v>
      </c>
      <c r="K238" s="12" t="s">
        <v>41</v>
      </c>
      <c r="L238" s="6"/>
      <c r="M238" s="6"/>
      <c r="N238" s="6"/>
      <c r="O238" s="6"/>
      <c r="P238" s="6"/>
      <c r="Q238" s="6"/>
      <c r="R238" s="6"/>
      <c r="S238" s="6"/>
      <c r="T238" s="6"/>
      <c r="U238"/>
      <c r="V238"/>
      <c r="W238"/>
      <c r="X238"/>
    </row>
    <row r="239" spans="1:24" ht="33.75" x14ac:dyDescent="0.2">
      <c r="A239" s="18">
        <v>232</v>
      </c>
      <c r="B239" s="14" t="s">
        <v>84</v>
      </c>
      <c r="C239" s="5" t="s">
        <v>909</v>
      </c>
      <c r="D239" s="13">
        <v>142</v>
      </c>
      <c r="E239" s="14" t="s">
        <v>796</v>
      </c>
      <c r="F239" s="15" t="s">
        <v>49</v>
      </c>
      <c r="G239" s="5">
        <v>2000</v>
      </c>
      <c r="H239" s="25">
        <v>50.09</v>
      </c>
      <c r="I239" s="23">
        <f t="shared" si="4"/>
        <v>100180</v>
      </c>
      <c r="J239" s="12" t="s">
        <v>43</v>
      </c>
      <c r="K239" s="12" t="s">
        <v>41</v>
      </c>
      <c r="L239" s="6"/>
      <c r="M239" s="6"/>
      <c r="N239" s="6"/>
      <c r="O239" s="6"/>
      <c r="P239" s="6"/>
      <c r="Q239" s="6"/>
      <c r="R239" s="6"/>
      <c r="S239" s="6"/>
      <c r="T239" s="6"/>
      <c r="U239"/>
      <c r="V239"/>
      <c r="W239"/>
      <c r="X239"/>
    </row>
    <row r="240" spans="1:24" ht="33.75" x14ac:dyDescent="0.2">
      <c r="A240" s="18">
        <v>233</v>
      </c>
      <c r="B240" s="14" t="s">
        <v>84</v>
      </c>
      <c r="C240" s="5" t="s">
        <v>909</v>
      </c>
      <c r="D240" s="13">
        <v>142</v>
      </c>
      <c r="E240" s="14" t="s">
        <v>797</v>
      </c>
      <c r="F240" s="15" t="s">
        <v>49</v>
      </c>
      <c r="G240" s="5">
        <v>2000</v>
      </c>
      <c r="H240" s="25">
        <v>50.09</v>
      </c>
      <c r="I240" s="23">
        <f t="shared" si="4"/>
        <v>100180</v>
      </c>
      <c r="J240" s="12" t="s">
        <v>43</v>
      </c>
      <c r="K240" s="12" t="s">
        <v>41</v>
      </c>
      <c r="L240" s="6"/>
      <c r="M240" s="6"/>
      <c r="N240" s="6"/>
      <c r="O240" s="6"/>
      <c r="P240" s="6"/>
      <c r="Q240" s="6"/>
      <c r="R240" s="6"/>
      <c r="S240" s="6"/>
      <c r="T240" s="6"/>
      <c r="U240"/>
      <c r="V240"/>
      <c r="W240"/>
      <c r="X240"/>
    </row>
    <row r="241" spans="1:24" ht="33.75" x14ac:dyDescent="0.2">
      <c r="A241" s="18">
        <v>234</v>
      </c>
      <c r="B241" s="14" t="s">
        <v>369</v>
      </c>
      <c r="C241" s="5" t="s">
        <v>909</v>
      </c>
      <c r="D241" s="13">
        <v>142</v>
      </c>
      <c r="E241" s="14" t="s">
        <v>795</v>
      </c>
      <c r="F241" s="15" t="s">
        <v>49</v>
      </c>
      <c r="G241" s="5">
        <v>1000</v>
      </c>
      <c r="H241" s="25">
        <v>70.8</v>
      </c>
      <c r="I241" s="23">
        <f t="shared" si="4"/>
        <v>70800</v>
      </c>
      <c r="J241" s="12" t="s">
        <v>43</v>
      </c>
      <c r="K241" s="12" t="s">
        <v>41</v>
      </c>
      <c r="L241" s="6"/>
      <c r="M241" s="6"/>
      <c r="N241" s="6"/>
      <c r="O241" s="6"/>
      <c r="P241" s="6"/>
      <c r="Q241" s="6"/>
      <c r="R241" s="6"/>
      <c r="S241" s="6"/>
      <c r="T241" s="6"/>
      <c r="U241"/>
      <c r="V241"/>
      <c r="W241"/>
      <c r="X241"/>
    </row>
    <row r="242" spans="1:24" ht="33.75" x14ac:dyDescent="0.2">
      <c r="A242" s="18">
        <v>235</v>
      </c>
      <c r="B242" s="14" t="s">
        <v>369</v>
      </c>
      <c r="C242" s="5" t="s">
        <v>909</v>
      </c>
      <c r="D242" s="13">
        <v>142</v>
      </c>
      <c r="E242" s="14" t="s">
        <v>796</v>
      </c>
      <c r="F242" s="15" t="s">
        <v>49</v>
      </c>
      <c r="G242" s="5">
        <v>1000</v>
      </c>
      <c r="H242" s="25">
        <v>70.08</v>
      </c>
      <c r="I242" s="23">
        <f t="shared" si="4"/>
        <v>70080</v>
      </c>
      <c r="J242" s="12" t="s">
        <v>43</v>
      </c>
      <c r="K242" s="12" t="s">
        <v>41</v>
      </c>
      <c r="L242" s="6"/>
      <c r="M242" s="6"/>
      <c r="N242" s="6"/>
      <c r="O242" s="6"/>
      <c r="P242" s="6"/>
      <c r="Q242" s="6"/>
      <c r="R242" s="6"/>
      <c r="S242" s="6"/>
      <c r="T242" s="6"/>
      <c r="U242"/>
      <c r="V242"/>
      <c r="W242"/>
      <c r="X242"/>
    </row>
    <row r="243" spans="1:24" ht="33.75" x14ac:dyDescent="0.2">
      <c r="A243" s="18">
        <v>236</v>
      </c>
      <c r="B243" s="14" t="s">
        <v>369</v>
      </c>
      <c r="C243" s="5" t="s">
        <v>909</v>
      </c>
      <c r="D243" s="13">
        <v>142</v>
      </c>
      <c r="E243" s="14" t="s">
        <v>798</v>
      </c>
      <c r="F243" s="15" t="s">
        <v>49</v>
      </c>
      <c r="G243" s="5">
        <v>1000</v>
      </c>
      <c r="H243" s="25">
        <v>70.08</v>
      </c>
      <c r="I243" s="23">
        <f t="shared" si="4"/>
        <v>70080</v>
      </c>
      <c r="J243" s="12" t="s">
        <v>43</v>
      </c>
      <c r="K243" s="12" t="s">
        <v>41</v>
      </c>
      <c r="L243" s="6"/>
      <c r="M243" s="6"/>
      <c r="N243" s="6"/>
      <c r="O243" s="6"/>
      <c r="P243" s="6"/>
      <c r="Q243" s="6"/>
      <c r="R243" s="6"/>
      <c r="S243" s="6"/>
      <c r="T243" s="6"/>
      <c r="U243"/>
      <c r="V243"/>
      <c r="W243"/>
      <c r="X243"/>
    </row>
    <row r="244" spans="1:24" ht="33.75" x14ac:dyDescent="0.2">
      <c r="A244" s="18">
        <v>237</v>
      </c>
      <c r="B244" s="7" t="s">
        <v>370</v>
      </c>
      <c r="C244" s="5" t="s">
        <v>909</v>
      </c>
      <c r="D244" s="13">
        <v>142</v>
      </c>
      <c r="E244" s="7" t="s">
        <v>799</v>
      </c>
      <c r="F244" s="17" t="s">
        <v>20</v>
      </c>
      <c r="G244" s="18">
        <v>100</v>
      </c>
      <c r="H244" s="24">
        <v>222.83</v>
      </c>
      <c r="I244" s="23">
        <f t="shared" si="4"/>
        <v>22283</v>
      </c>
      <c r="J244" s="12" t="s">
        <v>43</v>
      </c>
      <c r="K244" s="12" t="s">
        <v>41</v>
      </c>
      <c r="L244" s="6"/>
      <c r="M244" s="6"/>
      <c r="N244" s="6"/>
      <c r="O244" s="6"/>
      <c r="P244" s="6"/>
      <c r="Q244" s="6"/>
      <c r="R244" s="6"/>
      <c r="S244" s="6"/>
      <c r="T244" s="6"/>
      <c r="U244"/>
      <c r="V244"/>
      <c r="W244"/>
      <c r="X244"/>
    </row>
    <row r="245" spans="1:24" ht="33.75" x14ac:dyDescent="0.2">
      <c r="A245" s="18">
        <v>238</v>
      </c>
      <c r="B245" s="7" t="s">
        <v>86</v>
      </c>
      <c r="C245" s="5" t="s">
        <v>909</v>
      </c>
      <c r="D245" s="13">
        <v>142</v>
      </c>
      <c r="E245" s="7" t="s">
        <v>800</v>
      </c>
      <c r="F245" s="17" t="s">
        <v>18</v>
      </c>
      <c r="G245" s="18">
        <v>6000</v>
      </c>
      <c r="H245" s="24">
        <v>8.5399999999999991</v>
      </c>
      <c r="I245" s="23">
        <f t="shared" si="4"/>
        <v>51239.999999999993</v>
      </c>
      <c r="J245" s="12" t="s">
        <v>43</v>
      </c>
      <c r="K245" s="12" t="s">
        <v>41</v>
      </c>
      <c r="L245" s="6"/>
      <c r="M245" s="6"/>
      <c r="N245" s="6"/>
      <c r="O245" s="6"/>
      <c r="P245" s="6"/>
      <c r="Q245" s="6"/>
      <c r="R245" s="6"/>
      <c r="S245" s="6"/>
      <c r="T245" s="6"/>
      <c r="U245"/>
      <c r="V245"/>
      <c r="W245"/>
      <c r="X245"/>
    </row>
    <row r="246" spans="1:24" ht="33.75" x14ac:dyDescent="0.2">
      <c r="A246" s="18">
        <v>239</v>
      </c>
      <c r="B246" s="7" t="s">
        <v>85</v>
      </c>
      <c r="C246" s="5" t="s">
        <v>909</v>
      </c>
      <c r="D246" s="13">
        <v>142</v>
      </c>
      <c r="E246" s="7" t="s">
        <v>801</v>
      </c>
      <c r="F246" s="17" t="s">
        <v>681</v>
      </c>
      <c r="G246" s="18">
        <v>400</v>
      </c>
      <c r="H246" s="24">
        <f>162.43/1.12</f>
        <v>145.02678571428569</v>
      </c>
      <c r="I246" s="23">
        <f t="shared" si="4"/>
        <v>58010.714285714275</v>
      </c>
      <c r="J246" s="12" t="s">
        <v>43</v>
      </c>
      <c r="K246" s="12" t="s">
        <v>41</v>
      </c>
      <c r="L246" s="6"/>
      <c r="M246" s="6"/>
      <c r="N246" s="6"/>
      <c r="O246" s="6"/>
      <c r="P246" s="6"/>
      <c r="Q246" s="6"/>
      <c r="R246" s="6"/>
      <c r="S246" s="6"/>
      <c r="T246" s="6"/>
      <c r="U246"/>
      <c r="V246"/>
      <c r="W246"/>
      <c r="X246"/>
    </row>
    <row r="247" spans="1:24" ht="33.75" x14ac:dyDescent="0.2">
      <c r="A247" s="18">
        <v>240</v>
      </c>
      <c r="B247" s="7" t="s">
        <v>371</v>
      </c>
      <c r="C247" s="5" t="s">
        <v>909</v>
      </c>
      <c r="D247" s="13">
        <v>142</v>
      </c>
      <c r="E247" s="7" t="s">
        <v>802</v>
      </c>
      <c r="F247" s="17" t="s">
        <v>18</v>
      </c>
      <c r="G247" s="18">
        <v>3000</v>
      </c>
      <c r="H247" s="24">
        <v>27.33</v>
      </c>
      <c r="I247" s="23">
        <f t="shared" si="4"/>
        <v>81990</v>
      </c>
      <c r="J247" s="12" t="s">
        <v>43</v>
      </c>
      <c r="K247" s="12" t="s">
        <v>41</v>
      </c>
      <c r="L247" s="6"/>
      <c r="M247" s="6"/>
      <c r="N247" s="6"/>
      <c r="O247" s="6"/>
      <c r="P247" s="6"/>
      <c r="Q247" s="6"/>
      <c r="R247" s="6"/>
      <c r="S247" s="6"/>
      <c r="T247" s="6"/>
      <c r="U247"/>
      <c r="V247"/>
      <c r="W247"/>
      <c r="X247"/>
    </row>
    <row r="248" spans="1:24" ht="33.75" x14ac:dyDescent="0.2">
      <c r="A248" s="18">
        <v>241</v>
      </c>
      <c r="B248" s="7" t="s">
        <v>372</v>
      </c>
      <c r="C248" s="5" t="s">
        <v>909</v>
      </c>
      <c r="D248" s="13">
        <v>142</v>
      </c>
      <c r="E248" s="7" t="s">
        <v>803</v>
      </c>
      <c r="F248" s="17" t="s">
        <v>27</v>
      </c>
      <c r="G248" s="18">
        <v>30</v>
      </c>
      <c r="H248" s="24">
        <v>1412.55</v>
      </c>
      <c r="I248" s="23">
        <f t="shared" si="4"/>
        <v>42376.5</v>
      </c>
      <c r="J248" s="12" t="s">
        <v>43</v>
      </c>
      <c r="K248" s="12" t="s">
        <v>41</v>
      </c>
      <c r="L248" s="6"/>
      <c r="M248" s="6"/>
      <c r="N248" s="6"/>
      <c r="O248" s="6"/>
      <c r="P248" s="6"/>
      <c r="Q248" s="6"/>
      <c r="R248" s="6"/>
      <c r="S248" s="6"/>
      <c r="T248" s="6"/>
      <c r="U248"/>
      <c r="V248"/>
      <c r="W248"/>
      <c r="X248"/>
    </row>
    <row r="249" spans="1:24" ht="33.75" x14ac:dyDescent="0.2">
      <c r="A249" s="18">
        <v>242</v>
      </c>
      <c r="B249" s="7" t="s">
        <v>373</v>
      </c>
      <c r="C249" s="5" t="s">
        <v>909</v>
      </c>
      <c r="D249" s="13">
        <v>142</v>
      </c>
      <c r="E249" s="7" t="s">
        <v>804</v>
      </c>
      <c r="F249" s="17" t="s">
        <v>22</v>
      </c>
      <c r="G249" s="18">
        <v>10000</v>
      </c>
      <c r="H249" s="24">
        <v>6.51</v>
      </c>
      <c r="I249" s="23">
        <f t="shared" si="4"/>
        <v>65100</v>
      </c>
      <c r="J249" s="12" t="s">
        <v>43</v>
      </c>
      <c r="K249" s="12" t="s">
        <v>41</v>
      </c>
      <c r="L249" s="6"/>
      <c r="M249" s="6"/>
      <c r="N249" s="6"/>
      <c r="O249" s="6"/>
      <c r="P249" s="6"/>
      <c r="Q249" s="6"/>
      <c r="R249" s="6"/>
      <c r="S249" s="6"/>
      <c r="T249" s="6"/>
      <c r="U249"/>
      <c r="V249"/>
      <c r="W249"/>
      <c r="X249"/>
    </row>
    <row r="250" spans="1:24" ht="33.75" x14ac:dyDescent="0.2">
      <c r="A250" s="18">
        <v>243</v>
      </c>
      <c r="B250" s="7" t="s">
        <v>373</v>
      </c>
      <c r="C250" s="5" t="s">
        <v>909</v>
      </c>
      <c r="D250" s="13">
        <v>142</v>
      </c>
      <c r="E250" s="7" t="s">
        <v>805</v>
      </c>
      <c r="F250" s="17" t="s">
        <v>18</v>
      </c>
      <c r="G250" s="18">
        <v>1998</v>
      </c>
      <c r="H250" s="24">
        <v>24.09</v>
      </c>
      <c r="I250" s="23">
        <f t="shared" si="4"/>
        <v>48131.82</v>
      </c>
      <c r="J250" s="12" t="s">
        <v>43</v>
      </c>
      <c r="K250" s="12" t="s">
        <v>41</v>
      </c>
      <c r="L250" s="6"/>
      <c r="M250" s="6"/>
      <c r="N250" s="6"/>
      <c r="O250" s="6"/>
      <c r="P250" s="6"/>
      <c r="Q250" s="6"/>
      <c r="R250" s="6"/>
      <c r="S250" s="6"/>
      <c r="T250" s="6"/>
      <c r="U250"/>
      <c r="V250"/>
      <c r="W250"/>
      <c r="X250"/>
    </row>
    <row r="251" spans="1:24" ht="45" x14ac:dyDescent="0.2">
      <c r="A251" s="18">
        <v>244</v>
      </c>
      <c r="B251" s="14" t="s">
        <v>87</v>
      </c>
      <c r="C251" s="5" t="s">
        <v>909</v>
      </c>
      <c r="D251" s="13">
        <v>142</v>
      </c>
      <c r="E251" s="14" t="s">
        <v>806</v>
      </c>
      <c r="F251" s="17" t="s">
        <v>18</v>
      </c>
      <c r="G251" s="18">
        <v>500</v>
      </c>
      <c r="H251" s="24">
        <v>2545.87</v>
      </c>
      <c r="I251" s="23">
        <f t="shared" si="4"/>
        <v>1272935</v>
      </c>
      <c r="J251" s="12" t="s">
        <v>43</v>
      </c>
      <c r="K251" s="12" t="s">
        <v>41</v>
      </c>
      <c r="L251" s="6"/>
      <c r="M251" s="6"/>
      <c r="N251" s="6"/>
      <c r="O251" s="6"/>
      <c r="P251" s="6"/>
      <c r="Q251" s="6"/>
      <c r="R251" s="6"/>
      <c r="S251" s="6"/>
      <c r="T251" s="6"/>
      <c r="U251"/>
      <c r="V251"/>
      <c r="W251"/>
      <c r="X251"/>
    </row>
    <row r="252" spans="1:24" ht="33.75" x14ac:dyDescent="0.2">
      <c r="A252" s="18">
        <v>245</v>
      </c>
      <c r="B252" s="14" t="s">
        <v>88</v>
      </c>
      <c r="C252" s="5" t="s">
        <v>909</v>
      </c>
      <c r="D252" s="13">
        <v>142</v>
      </c>
      <c r="E252" s="14" t="s">
        <v>807</v>
      </c>
      <c r="F252" s="17" t="s">
        <v>18</v>
      </c>
      <c r="G252" s="18">
        <v>10000</v>
      </c>
      <c r="H252" s="24">
        <v>13.24</v>
      </c>
      <c r="I252" s="23">
        <f t="shared" si="4"/>
        <v>132400</v>
      </c>
      <c r="J252" s="12" t="s">
        <v>43</v>
      </c>
      <c r="K252" s="12" t="s">
        <v>41</v>
      </c>
      <c r="L252" s="6"/>
      <c r="M252" s="6"/>
      <c r="N252" s="6"/>
      <c r="O252" s="6"/>
      <c r="P252" s="6"/>
      <c r="Q252" s="6"/>
      <c r="R252" s="6"/>
      <c r="S252" s="6"/>
      <c r="T252" s="6"/>
      <c r="U252"/>
      <c r="V252"/>
      <c r="W252"/>
      <c r="X252"/>
    </row>
    <row r="253" spans="1:24" ht="33.75" x14ac:dyDescent="0.2">
      <c r="A253" s="18">
        <v>246</v>
      </c>
      <c r="B253" s="14" t="s">
        <v>89</v>
      </c>
      <c r="C253" s="5" t="s">
        <v>909</v>
      </c>
      <c r="D253" s="13">
        <v>142</v>
      </c>
      <c r="E253" s="14" t="s">
        <v>808</v>
      </c>
      <c r="F253" s="17" t="s">
        <v>682</v>
      </c>
      <c r="G253" s="18">
        <v>120</v>
      </c>
      <c r="H253" s="24">
        <v>186.25</v>
      </c>
      <c r="I253" s="23">
        <f t="shared" si="4"/>
        <v>22350</v>
      </c>
      <c r="J253" s="12" t="s">
        <v>43</v>
      </c>
      <c r="K253" s="12" t="s">
        <v>41</v>
      </c>
      <c r="L253" s="6"/>
      <c r="M253" s="6"/>
      <c r="N253" s="6"/>
      <c r="O253" s="6"/>
      <c r="P253" s="6"/>
      <c r="Q253" s="6"/>
      <c r="R253" s="6"/>
      <c r="S253" s="6"/>
      <c r="T253" s="6"/>
      <c r="U253"/>
      <c r="V253"/>
      <c r="W253"/>
      <c r="X253"/>
    </row>
    <row r="254" spans="1:24" ht="33.75" x14ac:dyDescent="0.2">
      <c r="A254" s="18">
        <v>247</v>
      </c>
      <c r="B254" s="14" t="s">
        <v>374</v>
      </c>
      <c r="C254" s="5" t="s">
        <v>909</v>
      </c>
      <c r="D254" s="13">
        <v>142</v>
      </c>
      <c r="E254" s="14" t="s">
        <v>809</v>
      </c>
      <c r="F254" s="17" t="s">
        <v>20</v>
      </c>
      <c r="G254" s="18">
        <v>50</v>
      </c>
      <c r="H254" s="24">
        <v>1269.0999999999999</v>
      </c>
      <c r="I254" s="23">
        <f t="shared" si="4"/>
        <v>63454.999999999993</v>
      </c>
      <c r="J254" s="12" t="s">
        <v>43</v>
      </c>
      <c r="K254" s="12" t="s">
        <v>41</v>
      </c>
      <c r="L254" s="6"/>
      <c r="M254" s="6"/>
      <c r="N254" s="6"/>
      <c r="O254" s="6"/>
      <c r="P254" s="6"/>
      <c r="Q254" s="6"/>
      <c r="R254" s="6"/>
      <c r="S254" s="6"/>
      <c r="T254" s="6"/>
      <c r="U254"/>
      <c r="V254"/>
      <c r="W254"/>
      <c r="X254"/>
    </row>
    <row r="255" spans="1:24" ht="33.75" x14ac:dyDescent="0.2">
      <c r="A255" s="18">
        <v>248</v>
      </c>
      <c r="B255" s="14" t="s">
        <v>375</v>
      </c>
      <c r="C255" s="5" t="s">
        <v>909</v>
      </c>
      <c r="D255" s="13">
        <v>142</v>
      </c>
      <c r="E255" s="14" t="s">
        <v>810</v>
      </c>
      <c r="F255" s="17" t="s">
        <v>20</v>
      </c>
      <c r="G255" s="18">
        <v>90</v>
      </c>
      <c r="H255" s="24">
        <v>361.35</v>
      </c>
      <c r="I255" s="23">
        <f t="shared" si="4"/>
        <v>32521.500000000004</v>
      </c>
      <c r="J255" s="12" t="s">
        <v>43</v>
      </c>
      <c r="K255" s="12" t="s">
        <v>41</v>
      </c>
      <c r="L255" s="6"/>
      <c r="M255" s="6"/>
      <c r="N255" s="6"/>
      <c r="O255" s="6"/>
      <c r="P255" s="6"/>
      <c r="Q255" s="6"/>
      <c r="R255" s="6"/>
      <c r="S255" s="6"/>
      <c r="T255" s="6"/>
      <c r="U255"/>
      <c r="V255"/>
      <c r="W255"/>
      <c r="X255"/>
    </row>
    <row r="256" spans="1:24" ht="33.75" x14ac:dyDescent="0.2">
      <c r="A256" s="18">
        <v>249</v>
      </c>
      <c r="B256" s="14" t="s">
        <v>90</v>
      </c>
      <c r="C256" s="5" t="s">
        <v>909</v>
      </c>
      <c r="D256" s="13">
        <v>142</v>
      </c>
      <c r="E256" s="14" t="s">
        <v>811</v>
      </c>
      <c r="F256" s="17" t="s">
        <v>42</v>
      </c>
      <c r="G256" s="18">
        <v>500</v>
      </c>
      <c r="H256" s="24">
        <f>39.76/1.12</f>
        <v>35.499999999999993</v>
      </c>
      <c r="I256" s="23">
        <f t="shared" si="4"/>
        <v>17749.999999999996</v>
      </c>
      <c r="J256" s="12" t="s">
        <v>43</v>
      </c>
      <c r="K256" s="12" t="s">
        <v>41</v>
      </c>
      <c r="L256" s="6"/>
      <c r="M256" s="6"/>
      <c r="N256" s="6"/>
      <c r="O256" s="6"/>
      <c r="P256" s="6"/>
      <c r="Q256" s="6"/>
      <c r="R256" s="6"/>
      <c r="S256" s="6"/>
      <c r="T256" s="6"/>
      <c r="U256"/>
      <c r="V256"/>
      <c r="W256"/>
      <c r="X256"/>
    </row>
    <row r="257" spans="1:24" ht="33.75" x14ac:dyDescent="0.2">
      <c r="A257" s="18">
        <v>250</v>
      </c>
      <c r="B257" s="14" t="s">
        <v>90</v>
      </c>
      <c r="C257" s="5" t="s">
        <v>909</v>
      </c>
      <c r="D257" s="13">
        <v>142</v>
      </c>
      <c r="E257" s="14" t="s">
        <v>812</v>
      </c>
      <c r="F257" s="17" t="s">
        <v>42</v>
      </c>
      <c r="G257" s="18">
        <v>32000</v>
      </c>
      <c r="H257" s="24">
        <f>18.57/1.12</f>
        <v>16.580357142857142</v>
      </c>
      <c r="I257" s="23">
        <f t="shared" si="4"/>
        <v>530571.42857142852</v>
      </c>
      <c r="J257" s="12" t="s">
        <v>43</v>
      </c>
      <c r="K257" s="12" t="s">
        <v>41</v>
      </c>
      <c r="L257" s="6"/>
      <c r="M257" s="6"/>
      <c r="N257" s="6"/>
      <c r="O257" s="6"/>
      <c r="P257" s="6"/>
      <c r="Q257" s="6"/>
      <c r="R257" s="6"/>
      <c r="S257" s="6"/>
      <c r="T257" s="6"/>
      <c r="U257"/>
      <c r="V257"/>
      <c r="W257"/>
      <c r="X257"/>
    </row>
    <row r="258" spans="1:24" ht="33.75" x14ac:dyDescent="0.2">
      <c r="A258" s="18">
        <v>251</v>
      </c>
      <c r="B258" s="14" t="s">
        <v>376</v>
      </c>
      <c r="C258" s="5" t="s">
        <v>909</v>
      </c>
      <c r="D258" s="13">
        <v>142</v>
      </c>
      <c r="E258" s="14" t="s">
        <v>813</v>
      </c>
      <c r="F258" s="17" t="s">
        <v>42</v>
      </c>
      <c r="G258" s="18">
        <v>4000</v>
      </c>
      <c r="H258" s="24">
        <v>5.54</v>
      </c>
      <c r="I258" s="23">
        <f t="shared" si="4"/>
        <v>22160</v>
      </c>
      <c r="J258" s="12" t="s">
        <v>43</v>
      </c>
      <c r="K258" s="12" t="s">
        <v>41</v>
      </c>
      <c r="L258" s="6"/>
      <c r="M258" s="6"/>
      <c r="N258" s="6"/>
      <c r="O258" s="6"/>
      <c r="P258" s="6"/>
      <c r="Q258" s="6"/>
      <c r="R258" s="6"/>
      <c r="S258" s="6"/>
      <c r="T258" s="6"/>
      <c r="U258"/>
      <c r="V258"/>
      <c r="W258"/>
      <c r="X258"/>
    </row>
    <row r="259" spans="1:24" ht="33.75" x14ac:dyDescent="0.2">
      <c r="A259" s="18">
        <v>252</v>
      </c>
      <c r="B259" s="14" t="s">
        <v>376</v>
      </c>
      <c r="C259" s="5" t="s">
        <v>909</v>
      </c>
      <c r="D259" s="13">
        <v>142</v>
      </c>
      <c r="E259" s="14" t="s">
        <v>814</v>
      </c>
      <c r="F259" s="17" t="s">
        <v>42</v>
      </c>
      <c r="G259" s="18">
        <v>2000</v>
      </c>
      <c r="H259" s="24">
        <v>44.85</v>
      </c>
      <c r="I259" s="23">
        <f t="shared" si="4"/>
        <v>89700</v>
      </c>
      <c r="J259" s="12" t="s">
        <v>43</v>
      </c>
      <c r="K259" s="12" t="s">
        <v>41</v>
      </c>
      <c r="L259" s="6"/>
      <c r="M259" s="6"/>
      <c r="N259" s="6"/>
      <c r="O259" s="6"/>
      <c r="P259" s="6"/>
      <c r="Q259" s="6"/>
      <c r="R259" s="6"/>
      <c r="S259" s="6"/>
      <c r="T259" s="6"/>
      <c r="U259"/>
      <c r="V259"/>
      <c r="W259"/>
      <c r="X259"/>
    </row>
    <row r="260" spans="1:24" ht="33.75" x14ac:dyDescent="0.2">
      <c r="A260" s="18">
        <v>253</v>
      </c>
      <c r="B260" s="14" t="s">
        <v>376</v>
      </c>
      <c r="C260" s="5" t="s">
        <v>909</v>
      </c>
      <c r="D260" s="13">
        <v>142</v>
      </c>
      <c r="E260" s="14" t="s">
        <v>815</v>
      </c>
      <c r="F260" s="17" t="s">
        <v>42</v>
      </c>
      <c r="G260" s="18">
        <v>4000</v>
      </c>
      <c r="H260" s="24">
        <v>44.85</v>
      </c>
      <c r="I260" s="23">
        <f t="shared" si="4"/>
        <v>179400</v>
      </c>
      <c r="J260" s="12" t="s">
        <v>43</v>
      </c>
      <c r="K260" s="12" t="s">
        <v>41</v>
      </c>
      <c r="L260" s="6"/>
      <c r="M260" s="6"/>
      <c r="N260" s="6"/>
      <c r="O260" s="6"/>
      <c r="P260" s="6"/>
      <c r="Q260" s="6"/>
      <c r="R260" s="6"/>
      <c r="S260" s="6"/>
      <c r="T260" s="6"/>
      <c r="U260"/>
      <c r="V260"/>
      <c r="W260"/>
      <c r="X260"/>
    </row>
    <row r="261" spans="1:24" ht="33.75" x14ac:dyDescent="0.2">
      <c r="A261" s="18">
        <v>254</v>
      </c>
      <c r="B261" s="14" t="s">
        <v>377</v>
      </c>
      <c r="C261" s="5" t="s">
        <v>909</v>
      </c>
      <c r="D261" s="13">
        <v>142</v>
      </c>
      <c r="E261" s="14" t="s">
        <v>816</v>
      </c>
      <c r="F261" s="17" t="s">
        <v>21</v>
      </c>
      <c r="G261" s="18">
        <v>300</v>
      </c>
      <c r="H261" s="24">
        <v>35.659999999999997</v>
      </c>
      <c r="I261" s="23">
        <f t="shared" si="4"/>
        <v>10697.999999999998</v>
      </c>
      <c r="J261" s="12" t="s">
        <v>43</v>
      </c>
      <c r="K261" s="12" t="s">
        <v>41</v>
      </c>
      <c r="L261" s="6"/>
      <c r="M261" s="6"/>
      <c r="N261" s="6"/>
      <c r="O261" s="6"/>
      <c r="P261" s="6"/>
      <c r="Q261" s="6"/>
      <c r="R261" s="6"/>
      <c r="S261" s="6"/>
      <c r="T261" s="6"/>
      <c r="U261"/>
      <c r="V261"/>
      <c r="W261"/>
      <c r="X261"/>
    </row>
    <row r="262" spans="1:24" ht="33.75" x14ac:dyDescent="0.2">
      <c r="A262" s="18">
        <v>255</v>
      </c>
      <c r="B262" s="14" t="s">
        <v>378</v>
      </c>
      <c r="C262" s="5" t="s">
        <v>909</v>
      </c>
      <c r="D262" s="13">
        <v>142</v>
      </c>
      <c r="E262" s="14" t="s">
        <v>817</v>
      </c>
      <c r="F262" s="17" t="s">
        <v>20</v>
      </c>
      <c r="G262" s="18">
        <v>400</v>
      </c>
      <c r="H262" s="24">
        <v>1981.18</v>
      </c>
      <c r="I262" s="23">
        <f t="shared" si="4"/>
        <v>792472</v>
      </c>
      <c r="J262" s="12" t="s">
        <v>43</v>
      </c>
      <c r="K262" s="12" t="s">
        <v>41</v>
      </c>
      <c r="L262" s="6"/>
      <c r="M262" s="6"/>
      <c r="N262" s="6"/>
      <c r="O262" s="6"/>
      <c r="P262" s="6"/>
      <c r="Q262" s="6"/>
      <c r="R262" s="6"/>
      <c r="S262" s="6"/>
      <c r="T262" s="6"/>
      <c r="U262"/>
      <c r="V262"/>
      <c r="W262"/>
      <c r="X262"/>
    </row>
    <row r="263" spans="1:24" ht="33.75" x14ac:dyDescent="0.2">
      <c r="A263" s="18">
        <v>256</v>
      </c>
      <c r="B263" s="14" t="s">
        <v>379</v>
      </c>
      <c r="C263" s="5" t="s">
        <v>909</v>
      </c>
      <c r="D263" s="13">
        <v>142</v>
      </c>
      <c r="E263" s="14" t="s">
        <v>818</v>
      </c>
      <c r="F263" s="17" t="s">
        <v>22</v>
      </c>
      <c r="G263" s="18">
        <v>5000</v>
      </c>
      <c r="H263" s="24">
        <v>5.32</v>
      </c>
      <c r="I263" s="23">
        <f t="shared" si="4"/>
        <v>26600</v>
      </c>
      <c r="J263" s="12" t="s">
        <v>43</v>
      </c>
      <c r="K263" s="12" t="s">
        <v>41</v>
      </c>
      <c r="L263" s="6"/>
      <c r="M263" s="6"/>
      <c r="N263" s="6"/>
      <c r="O263" s="6"/>
      <c r="P263" s="6"/>
      <c r="Q263" s="6"/>
      <c r="R263" s="6"/>
      <c r="S263" s="6"/>
      <c r="T263" s="6"/>
      <c r="U263"/>
      <c r="V263"/>
      <c r="W263"/>
      <c r="X263"/>
    </row>
    <row r="264" spans="1:24" ht="33.75" x14ac:dyDescent="0.2">
      <c r="A264" s="18">
        <v>257</v>
      </c>
      <c r="B264" s="14" t="s">
        <v>91</v>
      </c>
      <c r="C264" s="5" t="s">
        <v>909</v>
      </c>
      <c r="D264" s="13">
        <v>142</v>
      </c>
      <c r="E264" s="14" t="s">
        <v>819</v>
      </c>
      <c r="F264" s="17" t="s">
        <v>18</v>
      </c>
      <c r="G264" s="18">
        <v>3000</v>
      </c>
      <c r="H264" s="24">
        <f>13.1/1.12</f>
        <v>11.696428571428569</v>
      </c>
      <c r="I264" s="23">
        <f t="shared" si="4"/>
        <v>35089.28571428571</v>
      </c>
      <c r="J264" s="12" t="s">
        <v>43</v>
      </c>
      <c r="K264" s="12" t="s">
        <v>41</v>
      </c>
      <c r="L264" s="6"/>
      <c r="M264" s="6"/>
      <c r="N264" s="6"/>
      <c r="O264" s="6"/>
      <c r="P264" s="6"/>
      <c r="Q264" s="6"/>
      <c r="R264" s="6"/>
      <c r="S264" s="6"/>
      <c r="T264" s="6"/>
      <c r="U264"/>
      <c r="V264"/>
      <c r="W264"/>
      <c r="X264"/>
    </row>
    <row r="265" spans="1:24" ht="33.75" x14ac:dyDescent="0.2">
      <c r="A265" s="18">
        <v>258</v>
      </c>
      <c r="B265" s="14" t="s">
        <v>380</v>
      </c>
      <c r="C265" s="5" t="s">
        <v>909</v>
      </c>
      <c r="D265" s="13">
        <v>142</v>
      </c>
      <c r="E265" s="14" t="s">
        <v>820</v>
      </c>
      <c r="F265" s="17" t="s">
        <v>679</v>
      </c>
      <c r="G265" s="18">
        <v>990</v>
      </c>
      <c r="H265" s="24">
        <v>7.8</v>
      </c>
      <c r="I265" s="23">
        <f t="shared" si="4"/>
        <v>7722</v>
      </c>
      <c r="J265" s="12" t="s">
        <v>43</v>
      </c>
      <c r="K265" s="12" t="s">
        <v>41</v>
      </c>
      <c r="L265" s="6"/>
      <c r="M265" s="6"/>
      <c r="N265" s="6"/>
      <c r="O265" s="6"/>
      <c r="P265" s="6"/>
      <c r="Q265" s="6"/>
      <c r="R265" s="6"/>
      <c r="S265" s="6"/>
      <c r="T265" s="6"/>
      <c r="U265"/>
      <c r="V265"/>
      <c r="W265"/>
      <c r="X265"/>
    </row>
    <row r="266" spans="1:24" ht="78.75" x14ac:dyDescent="0.2">
      <c r="A266" s="18">
        <v>259</v>
      </c>
      <c r="B266" s="14" t="s">
        <v>381</v>
      </c>
      <c r="C266" s="5" t="s">
        <v>909</v>
      </c>
      <c r="D266" s="13">
        <v>142</v>
      </c>
      <c r="E266" s="14" t="s">
        <v>821</v>
      </c>
      <c r="F266" s="17" t="s">
        <v>48</v>
      </c>
      <c r="G266" s="18">
        <v>100</v>
      </c>
      <c r="H266" s="24">
        <v>1442.07</v>
      </c>
      <c r="I266" s="23">
        <f t="shared" si="4"/>
        <v>144207</v>
      </c>
      <c r="J266" s="12" t="s">
        <v>43</v>
      </c>
      <c r="K266" s="12" t="s">
        <v>41</v>
      </c>
      <c r="L266" s="6"/>
      <c r="M266" s="6"/>
      <c r="N266" s="6"/>
      <c r="O266" s="6"/>
      <c r="P266" s="6"/>
      <c r="Q266" s="6"/>
      <c r="R266" s="6"/>
      <c r="S266" s="6"/>
      <c r="T266" s="6"/>
      <c r="U266"/>
      <c r="V266"/>
      <c r="W266"/>
      <c r="X266"/>
    </row>
    <row r="267" spans="1:24" ht="33.75" x14ac:dyDescent="0.2">
      <c r="A267" s="18">
        <v>260</v>
      </c>
      <c r="B267" s="14" t="s">
        <v>382</v>
      </c>
      <c r="C267" s="5" t="s">
        <v>909</v>
      </c>
      <c r="D267" s="13">
        <v>142</v>
      </c>
      <c r="E267" s="14" t="s">
        <v>822</v>
      </c>
      <c r="F267" s="17" t="s">
        <v>22</v>
      </c>
      <c r="G267" s="18">
        <v>900</v>
      </c>
      <c r="H267" s="24">
        <v>26.28</v>
      </c>
      <c r="I267" s="23">
        <f t="shared" si="4"/>
        <v>23652</v>
      </c>
      <c r="J267" s="12" t="s">
        <v>43</v>
      </c>
      <c r="K267" s="12" t="s">
        <v>41</v>
      </c>
      <c r="L267" s="6"/>
      <c r="M267" s="6"/>
      <c r="N267" s="6"/>
      <c r="O267" s="6"/>
      <c r="P267" s="6"/>
      <c r="Q267" s="6"/>
      <c r="R267" s="6"/>
      <c r="S267" s="6"/>
      <c r="T267" s="6"/>
      <c r="U267"/>
      <c r="V267"/>
      <c r="W267"/>
      <c r="X267"/>
    </row>
    <row r="268" spans="1:24" ht="33.75" x14ac:dyDescent="0.2">
      <c r="A268" s="18">
        <v>261</v>
      </c>
      <c r="B268" s="14" t="s">
        <v>92</v>
      </c>
      <c r="C268" s="5" t="s">
        <v>909</v>
      </c>
      <c r="D268" s="13">
        <v>142</v>
      </c>
      <c r="E268" s="14" t="s">
        <v>823</v>
      </c>
      <c r="F268" s="17" t="s">
        <v>21</v>
      </c>
      <c r="G268" s="18">
        <v>3000</v>
      </c>
      <c r="H268" s="24">
        <v>54.22</v>
      </c>
      <c r="I268" s="23">
        <f t="shared" si="4"/>
        <v>162660</v>
      </c>
      <c r="J268" s="12" t="s">
        <v>43</v>
      </c>
      <c r="K268" s="12" t="s">
        <v>41</v>
      </c>
      <c r="L268" s="6"/>
      <c r="M268" s="6"/>
      <c r="N268" s="6"/>
      <c r="O268" s="6"/>
      <c r="P268" s="6"/>
      <c r="Q268" s="6"/>
      <c r="R268" s="6"/>
      <c r="S268" s="6"/>
      <c r="T268" s="6"/>
      <c r="U268"/>
      <c r="V268"/>
      <c r="W268"/>
      <c r="X268"/>
    </row>
    <row r="269" spans="1:24" ht="33.75" x14ac:dyDescent="0.2">
      <c r="A269" s="18">
        <v>262</v>
      </c>
      <c r="B269" s="14" t="s">
        <v>383</v>
      </c>
      <c r="C269" s="5" t="s">
        <v>909</v>
      </c>
      <c r="D269" s="13">
        <v>142</v>
      </c>
      <c r="E269" s="14" t="s">
        <v>824</v>
      </c>
      <c r="F269" s="17" t="s">
        <v>18</v>
      </c>
      <c r="G269" s="18">
        <v>50</v>
      </c>
      <c r="H269" s="24">
        <v>1213.8</v>
      </c>
      <c r="I269" s="23">
        <f t="shared" si="4"/>
        <v>60690</v>
      </c>
      <c r="J269" s="12" t="s">
        <v>43</v>
      </c>
      <c r="K269" s="12" t="s">
        <v>41</v>
      </c>
      <c r="L269" s="6"/>
      <c r="M269" s="6"/>
      <c r="N269" s="6"/>
      <c r="O269" s="6"/>
      <c r="P269" s="6"/>
      <c r="Q269" s="6"/>
      <c r="R269" s="6"/>
      <c r="S269" s="6"/>
      <c r="T269" s="6"/>
      <c r="U269"/>
      <c r="V269"/>
      <c r="W269"/>
      <c r="X269"/>
    </row>
    <row r="270" spans="1:24" ht="33.75" x14ac:dyDescent="0.2">
      <c r="A270" s="18">
        <v>263</v>
      </c>
      <c r="B270" s="14" t="s">
        <v>93</v>
      </c>
      <c r="C270" s="5" t="s">
        <v>909</v>
      </c>
      <c r="D270" s="13">
        <v>142</v>
      </c>
      <c r="E270" s="14" t="s">
        <v>825</v>
      </c>
      <c r="F270" s="17" t="s">
        <v>20</v>
      </c>
      <c r="G270" s="18">
        <v>500</v>
      </c>
      <c r="H270" s="24">
        <v>322.02999999999997</v>
      </c>
      <c r="I270" s="23">
        <f t="shared" si="4"/>
        <v>161015</v>
      </c>
      <c r="J270" s="12" t="s">
        <v>43</v>
      </c>
      <c r="K270" s="12" t="s">
        <v>41</v>
      </c>
      <c r="L270" s="6"/>
      <c r="M270" s="6"/>
      <c r="N270" s="6"/>
      <c r="O270" s="6"/>
      <c r="P270" s="6"/>
      <c r="Q270" s="6"/>
      <c r="R270" s="6"/>
      <c r="S270" s="6"/>
      <c r="T270" s="6"/>
      <c r="U270"/>
      <c r="V270"/>
      <c r="W270"/>
      <c r="X270"/>
    </row>
    <row r="271" spans="1:24" ht="33.75" x14ac:dyDescent="0.2">
      <c r="A271" s="18">
        <v>264</v>
      </c>
      <c r="B271" s="14" t="s">
        <v>94</v>
      </c>
      <c r="C271" s="5" t="s">
        <v>909</v>
      </c>
      <c r="D271" s="13">
        <v>142</v>
      </c>
      <c r="E271" s="14" t="s">
        <v>826</v>
      </c>
      <c r="F271" s="17" t="s">
        <v>683</v>
      </c>
      <c r="G271" s="18">
        <v>1000</v>
      </c>
      <c r="H271" s="24">
        <v>665.76</v>
      </c>
      <c r="I271" s="23">
        <f t="shared" ref="I271:I334" si="5">G271*H271</f>
        <v>665760</v>
      </c>
      <c r="J271" s="12" t="s">
        <v>43</v>
      </c>
      <c r="K271" s="12" t="s">
        <v>41</v>
      </c>
      <c r="L271" s="6"/>
      <c r="M271" s="6"/>
      <c r="N271" s="6"/>
      <c r="O271" s="6"/>
      <c r="P271" s="6"/>
      <c r="Q271" s="6"/>
      <c r="R271" s="6"/>
      <c r="S271" s="6"/>
      <c r="T271" s="6"/>
      <c r="U271"/>
      <c r="V271"/>
      <c r="W271"/>
      <c r="X271"/>
    </row>
    <row r="272" spans="1:24" ht="33.75" x14ac:dyDescent="0.2">
      <c r="A272" s="18">
        <v>265</v>
      </c>
      <c r="B272" s="14" t="s">
        <v>94</v>
      </c>
      <c r="C272" s="5" t="s">
        <v>909</v>
      </c>
      <c r="D272" s="13">
        <v>142</v>
      </c>
      <c r="E272" s="14" t="s">
        <v>827</v>
      </c>
      <c r="F272" s="17" t="s">
        <v>923</v>
      </c>
      <c r="G272" s="18">
        <v>2000</v>
      </c>
      <c r="H272" s="24">
        <v>94.96</v>
      </c>
      <c r="I272" s="23">
        <f t="shared" si="5"/>
        <v>189920</v>
      </c>
      <c r="J272" s="12" t="s">
        <v>43</v>
      </c>
      <c r="K272" s="12" t="s">
        <v>41</v>
      </c>
      <c r="L272" s="6"/>
      <c r="M272" s="6"/>
      <c r="N272" s="6"/>
      <c r="O272" s="6"/>
      <c r="P272" s="6"/>
      <c r="Q272" s="6"/>
      <c r="R272" s="6"/>
      <c r="S272" s="6"/>
      <c r="T272" s="6"/>
      <c r="U272"/>
      <c r="V272"/>
      <c r="W272"/>
      <c r="X272"/>
    </row>
    <row r="273" spans="1:24" ht="33.75" x14ac:dyDescent="0.2">
      <c r="A273" s="18">
        <v>266</v>
      </c>
      <c r="B273" s="14" t="s">
        <v>94</v>
      </c>
      <c r="C273" s="5" t="s">
        <v>909</v>
      </c>
      <c r="D273" s="13">
        <v>142</v>
      </c>
      <c r="E273" s="14" t="s">
        <v>828</v>
      </c>
      <c r="F273" s="17" t="s">
        <v>20</v>
      </c>
      <c r="G273" s="18">
        <v>500</v>
      </c>
      <c r="H273" s="24">
        <v>117.71</v>
      </c>
      <c r="I273" s="23">
        <f t="shared" si="5"/>
        <v>58855</v>
      </c>
      <c r="J273" s="12" t="s">
        <v>43</v>
      </c>
      <c r="K273" s="12" t="s">
        <v>41</v>
      </c>
      <c r="L273" s="6"/>
      <c r="M273" s="6"/>
      <c r="N273" s="6"/>
      <c r="O273" s="6"/>
      <c r="P273" s="6"/>
      <c r="Q273" s="6"/>
      <c r="R273" s="6"/>
      <c r="S273" s="6"/>
      <c r="T273" s="6"/>
      <c r="U273"/>
      <c r="V273"/>
      <c r="W273"/>
      <c r="X273"/>
    </row>
    <row r="274" spans="1:24" ht="33.75" x14ac:dyDescent="0.2">
      <c r="A274" s="18">
        <v>267</v>
      </c>
      <c r="B274" s="14" t="s">
        <v>95</v>
      </c>
      <c r="C274" s="5" t="s">
        <v>909</v>
      </c>
      <c r="D274" s="13">
        <v>142</v>
      </c>
      <c r="E274" s="14" t="s">
        <v>829</v>
      </c>
      <c r="F274" s="17" t="s">
        <v>18</v>
      </c>
      <c r="G274" s="18">
        <v>1000</v>
      </c>
      <c r="H274" s="24">
        <v>8.2100000000000009</v>
      </c>
      <c r="I274" s="23">
        <f t="shared" si="5"/>
        <v>8210</v>
      </c>
      <c r="J274" s="12" t="s">
        <v>43</v>
      </c>
      <c r="K274" s="12" t="s">
        <v>41</v>
      </c>
      <c r="L274" s="6"/>
      <c r="M274" s="6"/>
      <c r="N274" s="6"/>
      <c r="O274" s="6"/>
      <c r="P274" s="6"/>
      <c r="Q274" s="6"/>
      <c r="R274" s="6"/>
      <c r="S274" s="6"/>
      <c r="T274" s="6"/>
      <c r="U274"/>
      <c r="V274"/>
      <c r="W274"/>
      <c r="X274"/>
    </row>
    <row r="275" spans="1:24" ht="33.75" x14ac:dyDescent="0.2">
      <c r="A275" s="18">
        <v>268</v>
      </c>
      <c r="B275" s="14" t="s">
        <v>384</v>
      </c>
      <c r="C275" s="5" t="s">
        <v>909</v>
      </c>
      <c r="D275" s="13">
        <v>142</v>
      </c>
      <c r="E275" s="14" t="s">
        <v>830</v>
      </c>
      <c r="F275" s="17" t="s">
        <v>21</v>
      </c>
      <c r="G275" s="18">
        <v>992</v>
      </c>
      <c r="H275" s="24">
        <v>34.21</v>
      </c>
      <c r="I275" s="23">
        <f t="shared" si="5"/>
        <v>33936.32</v>
      </c>
      <c r="J275" s="12" t="s">
        <v>43</v>
      </c>
      <c r="K275" s="12" t="s">
        <v>41</v>
      </c>
      <c r="L275" s="6"/>
      <c r="M275" s="6"/>
      <c r="N275" s="6"/>
      <c r="O275" s="6"/>
      <c r="P275" s="6"/>
      <c r="Q275" s="6"/>
      <c r="R275" s="6"/>
      <c r="S275" s="6"/>
      <c r="T275" s="6"/>
      <c r="U275"/>
      <c r="V275"/>
      <c r="W275"/>
      <c r="X275"/>
    </row>
    <row r="276" spans="1:24" ht="33.75" x14ac:dyDescent="0.2">
      <c r="A276" s="18">
        <v>269</v>
      </c>
      <c r="B276" s="14" t="s">
        <v>385</v>
      </c>
      <c r="C276" s="5" t="s">
        <v>909</v>
      </c>
      <c r="D276" s="13">
        <v>142</v>
      </c>
      <c r="E276" s="14" t="s">
        <v>831</v>
      </c>
      <c r="F276" s="17" t="s">
        <v>22</v>
      </c>
      <c r="G276" s="18">
        <v>4980</v>
      </c>
      <c r="H276" s="24">
        <v>21.35</v>
      </c>
      <c r="I276" s="23">
        <f t="shared" si="5"/>
        <v>106323</v>
      </c>
      <c r="J276" s="12" t="s">
        <v>43</v>
      </c>
      <c r="K276" s="12" t="s">
        <v>41</v>
      </c>
      <c r="L276" s="6"/>
      <c r="M276" s="6"/>
      <c r="N276" s="6"/>
      <c r="O276" s="6"/>
      <c r="P276" s="6"/>
      <c r="Q276" s="6"/>
      <c r="R276" s="6"/>
      <c r="S276" s="6"/>
      <c r="T276" s="6"/>
      <c r="U276"/>
      <c r="V276"/>
      <c r="W276"/>
      <c r="X276"/>
    </row>
    <row r="277" spans="1:24" ht="33.75" x14ac:dyDescent="0.2">
      <c r="A277" s="18">
        <v>270</v>
      </c>
      <c r="B277" s="14" t="s">
        <v>386</v>
      </c>
      <c r="C277" s="5" t="s">
        <v>909</v>
      </c>
      <c r="D277" s="13">
        <v>142</v>
      </c>
      <c r="E277" s="14" t="s">
        <v>832</v>
      </c>
      <c r="F277" s="17" t="s">
        <v>684</v>
      </c>
      <c r="G277" s="18">
        <v>200</v>
      </c>
      <c r="H277" s="24">
        <v>1806.75</v>
      </c>
      <c r="I277" s="23">
        <f t="shared" si="5"/>
        <v>361350</v>
      </c>
      <c r="J277" s="12" t="s">
        <v>43</v>
      </c>
      <c r="K277" s="12" t="s">
        <v>41</v>
      </c>
      <c r="L277" s="6"/>
      <c r="M277" s="6"/>
      <c r="N277" s="6"/>
      <c r="O277" s="6"/>
      <c r="P277" s="6"/>
      <c r="Q277" s="6"/>
      <c r="R277" s="6"/>
      <c r="S277" s="6"/>
      <c r="T277" s="6"/>
      <c r="U277"/>
      <c r="V277"/>
      <c r="W277"/>
      <c r="X277"/>
    </row>
    <row r="278" spans="1:24" ht="33.75" x14ac:dyDescent="0.2">
      <c r="A278" s="18">
        <v>271</v>
      </c>
      <c r="B278" s="14" t="s">
        <v>387</v>
      </c>
      <c r="C278" s="5" t="s">
        <v>909</v>
      </c>
      <c r="D278" s="13">
        <v>142</v>
      </c>
      <c r="E278" s="14" t="s">
        <v>833</v>
      </c>
      <c r="F278" s="17" t="s">
        <v>18</v>
      </c>
      <c r="G278" s="18">
        <v>1000</v>
      </c>
      <c r="H278" s="24">
        <v>101.06</v>
      </c>
      <c r="I278" s="23">
        <f t="shared" si="5"/>
        <v>101060</v>
      </c>
      <c r="J278" s="12" t="s">
        <v>43</v>
      </c>
      <c r="K278" s="12" t="s">
        <v>41</v>
      </c>
      <c r="L278" s="6"/>
      <c r="M278" s="6"/>
      <c r="N278" s="6"/>
      <c r="O278" s="6"/>
      <c r="P278" s="6"/>
      <c r="Q278" s="6"/>
      <c r="R278" s="6"/>
      <c r="S278" s="6"/>
      <c r="T278" s="6"/>
      <c r="U278"/>
      <c r="V278"/>
      <c r="W278"/>
      <c r="X278"/>
    </row>
    <row r="279" spans="1:24" ht="33.75" x14ac:dyDescent="0.2">
      <c r="A279" s="18">
        <v>272</v>
      </c>
      <c r="B279" s="14" t="s">
        <v>387</v>
      </c>
      <c r="C279" s="5" t="s">
        <v>909</v>
      </c>
      <c r="D279" s="13">
        <v>142</v>
      </c>
      <c r="E279" s="14" t="s">
        <v>834</v>
      </c>
      <c r="F279" s="17" t="s">
        <v>685</v>
      </c>
      <c r="G279" s="18">
        <v>2000</v>
      </c>
      <c r="H279" s="24">
        <v>16.420000000000002</v>
      </c>
      <c r="I279" s="23">
        <f t="shared" si="5"/>
        <v>32840</v>
      </c>
      <c r="J279" s="12" t="s">
        <v>43</v>
      </c>
      <c r="K279" s="12" t="s">
        <v>41</v>
      </c>
      <c r="L279" s="6"/>
      <c r="M279" s="6"/>
      <c r="N279" s="6"/>
      <c r="O279" s="6"/>
      <c r="P279" s="6"/>
      <c r="Q279" s="6"/>
      <c r="R279" s="6"/>
      <c r="S279" s="6"/>
      <c r="T279" s="6"/>
      <c r="U279"/>
      <c r="V279"/>
      <c r="W279"/>
      <c r="X279"/>
    </row>
    <row r="280" spans="1:24" ht="33.75" x14ac:dyDescent="0.2">
      <c r="A280" s="18">
        <v>273</v>
      </c>
      <c r="B280" s="14" t="s">
        <v>96</v>
      </c>
      <c r="C280" s="5" t="s">
        <v>909</v>
      </c>
      <c r="D280" s="13">
        <v>142</v>
      </c>
      <c r="E280" s="14" t="s">
        <v>835</v>
      </c>
      <c r="F280" s="17" t="s">
        <v>17</v>
      </c>
      <c r="G280" s="18">
        <v>1500</v>
      </c>
      <c r="H280" s="24">
        <v>552.97</v>
      </c>
      <c r="I280" s="23">
        <f t="shared" si="5"/>
        <v>829455</v>
      </c>
      <c r="J280" s="12" t="s">
        <v>43</v>
      </c>
      <c r="K280" s="12" t="s">
        <v>41</v>
      </c>
      <c r="L280" s="6"/>
      <c r="M280" s="6"/>
      <c r="N280" s="6"/>
      <c r="O280" s="6"/>
      <c r="P280" s="6"/>
      <c r="Q280" s="6"/>
      <c r="R280" s="6"/>
      <c r="S280" s="6"/>
      <c r="T280" s="6"/>
      <c r="U280"/>
      <c r="V280"/>
      <c r="W280"/>
      <c r="X280"/>
    </row>
    <row r="281" spans="1:24" ht="33.75" x14ac:dyDescent="0.2">
      <c r="A281" s="18">
        <v>274</v>
      </c>
      <c r="B281" s="14" t="s">
        <v>97</v>
      </c>
      <c r="C281" s="5" t="s">
        <v>909</v>
      </c>
      <c r="D281" s="13">
        <v>142</v>
      </c>
      <c r="E281" s="14" t="s">
        <v>836</v>
      </c>
      <c r="F281" s="17" t="s">
        <v>20</v>
      </c>
      <c r="G281" s="18">
        <v>3000</v>
      </c>
      <c r="H281" s="24">
        <v>321.70999999999998</v>
      </c>
      <c r="I281" s="23">
        <f t="shared" si="5"/>
        <v>965129.99999999988</v>
      </c>
      <c r="J281" s="12" t="s">
        <v>43</v>
      </c>
      <c r="K281" s="12" t="s">
        <v>41</v>
      </c>
      <c r="L281" s="6"/>
      <c r="M281" s="6"/>
      <c r="N281" s="6"/>
      <c r="O281" s="6"/>
      <c r="P281" s="6"/>
      <c r="Q281" s="6"/>
      <c r="R281" s="6"/>
      <c r="S281" s="6"/>
      <c r="T281" s="6"/>
      <c r="U281"/>
      <c r="V281"/>
      <c r="W281"/>
      <c r="X281"/>
    </row>
    <row r="282" spans="1:24" ht="33.75" x14ac:dyDescent="0.2">
      <c r="A282" s="18">
        <v>275</v>
      </c>
      <c r="B282" s="14" t="s">
        <v>98</v>
      </c>
      <c r="C282" s="5" t="s">
        <v>909</v>
      </c>
      <c r="D282" s="13">
        <v>142</v>
      </c>
      <c r="E282" s="14" t="s">
        <v>837</v>
      </c>
      <c r="F282" s="17" t="s">
        <v>18</v>
      </c>
      <c r="G282" s="18">
        <v>4500</v>
      </c>
      <c r="H282" s="24">
        <v>7.11</v>
      </c>
      <c r="I282" s="23">
        <f t="shared" si="5"/>
        <v>31995</v>
      </c>
      <c r="J282" s="12" t="s">
        <v>43</v>
      </c>
      <c r="K282" s="12" t="s">
        <v>41</v>
      </c>
      <c r="L282" s="6"/>
      <c r="M282" s="6"/>
      <c r="N282" s="6"/>
      <c r="O282" s="6"/>
      <c r="P282" s="6"/>
      <c r="Q282" s="6"/>
      <c r="R282" s="6"/>
      <c r="S282" s="6"/>
      <c r="T282" s="6"/>
      <c r="U282"/>
      <c r="V282"/>
      <c r="W282"/>
      <c r="X282"/>
    </row>
    <row r="283" spans="1:24" ht="33.75" x14ac:dyDescent="0.2">
      <c r="A283" s="18">
        <v>276</v>
      </c>
      <c r="B283" s="14" t="s">
        <v>388</v>
      </c>
      <c r="C283" s="5" t="s">
        <v>909</v>
      </c>
      <c r="D283" s="13">
        <v>142</v>
      </c>
      <c r="E283" s="14" t="s">
        <v>838</v>
      </c>
      <c r="F283" s="17" t="s">
        <v>20</v>
      </c>
      <c r="G283" s="18">
        <v>100</v>
      </c>
      <c r="H283" s="24">
        <v>2256.46</v>
      </c>
      <c r="I283" s="23">
        <f t="shared" si="5"/>
        <v>225646</v>
      </c>
      <c r="J283" s="12" t="s">
        <v>43</v>
      </c>
      <c r="K283" s="12" t="s">
        <v>41</v>
      </c>
      <c r="L283" s="6"/>
      <c r="M283" s="6"/>
      <c r="N283" s="6"/>
      <c r="O283" s="6"/>
      <c r="P283" s="6"/>
      <c r="Q283" s="6"/>
      <c r="R283" s="6"/>
      <c r="S283" s="6"/>
      <c r="T283" s="6"/>
      <c r="U283"/>
      <c r="V283"/>
      <c r="W283"/>
      <c r="X283"/>
    </row>
    <row r="284" spans="1:24" ht="33.75" x14ac:dyDescent="0.2">
      <c r="A284" s="18">
        <v>277</v>
      </c>
      <c r="B284" s="14" t="s">
        <v>389</v>
      </c>
      <c r="C284" s="5" t="s">
        <v>909</v>
      </c>
      <c r="D284" s="13">
        <v>142</v>
      </c>
      <c r="E284" s="14" t="s">
        <v>839</v>
      </c>
      <c r="F284" s="17" t="s">
        <v>20</v>
      </c>
      <c r="G284" s="18">
        <v>3000</v>
      </c>
      <c r="H284" s="24">
        <v>49.05</v>
      </c>
      <c r="I284" s="23">
        <f t="shared" si="5"/>
        <v>147150</v>
      </c>
      <c r="J284" s="12" t="s">
        <v>43</v>
      </c>
      <c r="K284" s="12" t="s">
        <v>41</v>
      </c>
      <c r="L284" s="6"/>
      <c r="M284" s="6"/>
      <c r="N284" s="6"/>
      <c r="O284" s="6"/>
      <c r="P284" s="6"/>
      <c r="Q284" s="6"/>
      <c r="R284" s="6"/>
      <c r="S284" s="6"/>
      <c r="T284" s="6"/>
      <c r="U284"/>
      <c r="V284"/>
      <c r="W284"/>
      <c r="X284"/>
    </row>
    <row r="285" spans="1:24" ht="33.75" x14ac:dyDescent="0.2">
      <c r="A285" s="18">
        <v>278</v>
      </c>
      <c r="B285" s="14" t="s">
        <v>99</v>
      </c>
      <c r="C285" s="5" t="s">
        <v>909</v>
      </c>
      <c r="D285" s="13">
        <v>142</v>
      </c>
      <c r="E285" s="14" t="s">
        <v>840</v>
      </c>
      <c r="F285" s="17" t="s">
        <v>18</v>
      </c>
      <c r="G285" s="18">
        <v>1000</v>
      </c>
      <c r="H285" s="24">
        <v>1202.57</v>
      </c>
      <c r="I285" s="23">
        <f t="shared" si="5"/>
        <v>1202570</v>
      </c>
      <c r="J285" s="12" t="s">
        <v>43</v>
      </c>
      <c r="K285" s="12" t="s">
        <v>41</v>
      </c>
      <c r="L285" s="6"/>
      <c r="M285" s="6"/>
      <c r="N285" s="6"/>
      <c r="O285" s="6"/>
      <c r="P285" s="6"/>
      <c r="Q285" s="6"/>
      <c r="R285" s="6"/>
      <c r="S285" s="6"/>
      <c r="T285" s="6"/>
      <c r="U285"/>
      <c r="V285"/>
      <c r="W285"/>
      <c r="X285"/>
    </row>
    <row r="286" spans="1:24" ht="33.75" x14ac:dyDescent="0.2">
      <c r="A286" s="18">
        <v>279</v>
      </c>
      <c r="B286" s="14" t="s">
        <v>390</v>
      </c>
      <c r="C286" s="5" t="s">
        <v>909</v>
      </c>
      <c r="D286" s="13">
        <v>142</v>
      </c>
      <c r="E286" s="14" t="s">
        <v>841</v>
      </c>
      <c r="F286" s="17" t="s">
        <v>42</v>
      </c>
      <c r="G286" s="18">
        <v>1000</v>
      </c>
      <c r="H286" s="24">
        <v>53.75</v>
      </c>
      <c r="I286" s="23">
        <f t="shared" si="5"/>
        <v>53750</v>
      </c>
      <c r="J286" s="12" t="s">
        <v>43</v>
      </c>
      <c r="K286" s="12" t="s">
        <v>41</v>
      </c>
      <c r="L286" s="6"/>
      <c r="M286" s="6"/>
      <c r="N286" s="6"/>
      <c r="O286" s="6"/>
      <c r="P286" s="6"/>
      <c r="Q286" s="6"/>
      <c r="R286" s="6"/>
      <c r="S286" s="6"/>
      <c r="T286" s="6"/>
      <c r="U286"/>
      <c r="V286"/>
      <c r="W286"/>
      <c r="X286"/>
    </row>
    <row r="287" spans="1:24" ht="33.75" x14ac:dyDescent="0.2">
      <c r="A287" s="18">
        <v>280</v>
      </c>
      <c r="B287" s="14" t="s">
        <v>100</v>
      </c>
      <c r="C287" s="5" t="s">
        <v>909</v>
      </c>
      <c r="D287" s="13">
        <v>142</v>
      </c>
      <c r="E287" s="14" t="s">
        <v>842</v>
      </c>
      <c r="F287" s="17" t="s">
        <v>42</v>
      </c>
      <c r="G287" s="18">
        <v>5000</v>
      </c>
      <c r="H287" s="24">
        <v>14.35</v>
      </c>
      <c r="I287" s="23">
        <f t="shared" si="5"/>
        <v>71750</v>
      </c>
      <c r="J287" s="12" t="s">
        <v>43</v>
      </c>
      <c r="K287" s="12" t="s">
        <v>41</v>
      </c>
      <c r="L287" s="6"/>
      <c r="M287" s="6"/>
      <c r="N287" s="6"/>
      <c r="O287" s="6"/>
      <c r="P287" s="6"/>
      <c r="Q287" s="6"/>
      <c r="R287" s="6"/>
      <c r="S287" s="6"/>
      <c r="T287" s="6"/>
      <c r="U287"/>
      <c r="V287"/>
      <c r="W287"/>
      <c r="X287"/>
    </row>
    <row r="288" spans="1:24" ht="33.75" x14ac:dyDescent="0.2">
      <c r="A288" s="18">
        <v>281</v>
      </c>
      <c r="B288" s="14" t="s">
        <v>100</v>
      </c>
      <c r="C288" s="5" t="s">
        <v>909</v>
      </c>
      <c r="D288" s="13">
        <v>142</v>
      </c>
      <c r="E288" s="14" t="s">
        <v>843</v>
      </c>
      <c r="F288" s="17" t="s">
        <v>42</v>
      </c>
      <c r="G288" s="18">
        <v>10000</v>
      </c>
      <c r="H288" s="24">
        <v>8.65</v>
      </c>
      <c r="I288" s="23">
        <f t="shared" si="5"/>
        <v>86500</v>
      </c>
      <c r="J288" s="12" t="s">
        <v>43</v>
      </c>
      <c r="K288" s="12" t="s">
        <v>41</v>
      </c>
      <c r="L288" s="6"/>
      <c r="M288" s="6"/>
      <c r="N288" s="6"/>
      <c r="O288" s="6"/>
      <c r="P288" s="6"/>
      <c r="Q288" s="6"/>
      <c r="R288" s="6"/>
      <c r="S288" s="6"/>
      <c r="T288" s="6"/>
      <c r="U288"/>
      <c r="V288"/>
      <c r="W288"/>
      <c r="X288"/>
    </row>
    <row r="289" spans="1:24" ht="33.75" x14ac:dyDescent="0.2">
      <c r="A289" s="18">
        <v>282</v>
      </c>
      <c r="B289" s="14" t="s">
        <v>100</v>
      </c>
      <c r="C289" s="5" t="s">
        <v>909</v>
      </c>
      <c r="D289" s="13">
        <v>142</v>
      </c>
      <c r="E289" s="14" t="s">
        <v>844</v>
      </c>
      <c r="F289" s="17" t="s">
        <v>42</v>
      </c>
      <c r="G289" s="18">
        <v>5000</v>
      </c>
      <c r="H289" s="24">
        <v>21.54</v>
      </c>
      <c r="I289" s="23">
        <f t="shared" si="5"/>
        <v>107700</v>
      </c>
      <c r="J289" s="12" t="s">
        <v>43</v>
      </c>
      <c r="K289" s="12" t="s">
        <v>41</v>
      </c>
      <c r="L289" s="6"/>
      <c r="M289" s="6"/>
      <c r="N289" s="6"/>
      <c r="O289" s="6"/>
      <c r="P289" s="6"/>
      <c r="Q289" s="6"/>
      <c r="R289" s="6"/>
      <c r="S289" s="6"/>
      <c r="T289" s="6"/>
      <c r="U289"/>
      <c r="V289"/>
      <c r="W289"/>
      <c r="X289"/>
    </row>
    <row r="290" spans="1:24" ht="33.75" x14ac:dyDescent="0.2">
      <c r="A290" s="18">
        <v>283</v>
      </c>
      <c r="B290" s="14" t="s">
        <v>100</v>
      </c>
      <c r="C290" s="5" t="s">
        <v>909</v>
      </c>
      <c r="D290" s="13">
        <v>142</v>
      </c>
      <c r="E290" s="14" t="s">
        <v>845</v>
      </c>
      <c r="F290" s="17" t="s">
        <v>42</v>
      </c>
      <c r="G290" s="18">
        <v>40000</v>
      </c>
      <c r="H290" s="24">
        <v>10.15</v>
      </c>
      <c r="I290" s="23">
        <f t="shared" si="5"/>
        <v>406000</v>
      </c>
      <c r="J290" s="12" t="s">
        <v>43</v>
      </c>
      <c r="K290" s="12" t="s">
        <v>41</v>
      </c>
      <c r="L290" s="6"/>
      <c r="M290" s="6"/>
      <c r="N290" s="6"/>
      <c r="O290" s="6"/>
      <c r="P290" s="6"/>
      <c r="Q290" s="6"/>
      <c r="R290" s="6"/>
      <c r="S290" s="6"/>
      <c r="T290" s="6"/>
      <c r="U290"/>
      <c r="V290"/>
      <c r="W290"/>
      <c r="X290"/>
    </row>
    <row r="291" spans="1:24" ht="45" x14ac:dyDescent="0.2">
      <c r="A291" s="18">
        <v>284</v>
      </c>
      <c r="B291" s="14" t="s">
        <v>391</v>
      </c>
      <c r="C291" s="5" t="s">
        <v>909</v>
      </c>
      <c r="D291" s="13">
        <v>142</v>
      </c>
      <c r="E291" s="14" t="s">
        <v>846</v>
      </c>
      <c r="F291" s="17" t="s">
        <v>42</v>
      </c>
      <c r="G291" s="18">
        <v>2000</v>
      </c>
      <c r="H291" s="24">
        <v>24.04</v>
      </c>
      <c r="I291" s="23">
        <f t="shared" si="5"/>
        <v>48080</v>
      </c>
      <c r="J291" s="12" t="s">
        <v>43</v>
      </c>
      <c r="K291" s="12" t="s">
        <v>41</v>
      </c>
      <c r="L291" s="6"/>
      <c r="M291" s="6"/>
      <c r="N291" s="6"/>
      <c r="O291" s="6"/>
      <c r="P291" s="6"/>
      <c r="Q291" s="6"/>
      <c r="R291" s="6"/>
      <c r="S291" s="6"/>
      <c r="T291" s="6"/>
      <c r="U291"/>
      <c r="V291"/>
      <c r="W291"/>
      <c r="X291"/>
    </row>
    <row r="292" spans="1:24" ht="33.75" x14ac:dyDescent="0.2">
      <c r="A292" s="18">
        <v>285</v>
      </c>
      <c r="B292" s="14" t="s">
        <v>101</v>
      </c>
      <c r="C292" s="5" t="s">
        <v>909</v>
      </c>
      <c r="D292" s="13">
        <v>142</v>
      </c>
      <c r="E292" s="14" t="s">
        <v>847</v>
      </c>
      <c r="F292" s="17" t="s">
        <v>16</v>
      </c>
      <c r="G292" s="18">
        <v>1000</v>
      </c>
      <c r="H292" s="24">
        <v>6.51</v>
      </c>
      <c r="I292" s="23">
        <f t="shared" si="5"/>
        <v>6510</v>
      </c>
      <c r="J292" s="12" t="s">
        <v>43</v>
      </c>
      <c r="K292" s="12" t="s">
        <v>41</v>
      </c>
      <c r="L292" s="6"/>
      <c r="M292" s="6"/>
      <c r="N292" s="6"/>
      <c r="O292" s="6"/>
      <c r="P292" s="6"/>
      <c r="Q292" s="6"/>
      <c r="R292" s="6"/>
      <c r="S292" s="6"/>
      <c r="T292" s="6"/>
      <c r="U292"/>
      <c r="V292"/>
      <c r="W292"/>
      <c r="X292"/>
    </row>
    <row r="293" spans="1:24" ht="33.75" x14ac:dyDescent="0.2">
      <c r="A293" s="18">
        <v>286</v>
      </c>
      <c r="B293" s="14" t="s">
        <v>102</v>
      </c>
      <c r="C293" s="5" t="s">
        <v>909</v>
      </c>
      <c r="D293" s="13">
        <v>142</v>
      </c>
      <c r="E293" s="14" t="s">
        <v>848</v>
      </c>
      <c r="F293" s="17" t="s">
        <v>18</v>
      </c>
      <c r="G293" s="18">
        <v>2000</v>
      </c>
      <c r="H293" s="24">
        <v>323.02</v>
      </c>
      <c r="I293" s="23">
        <f t="shared" si="5"/>
        <v>646040</v>
      </c>
      <c r="J293" s="12" t="s">
        <v>43</v>
      </c>
      <c r="K293" s="12" t="s">
        <v>41</v>
      </c>
      <c r="L293" s="6"/>
      <c r="M293" s="6"/>
      <c r="N293" s="6"/>
      <c r="O293" s="6"/>
      <c r="P293" s="6"/>
      <c r="Q293" s="6"/>
      <c r="R293" s="6"/>
      <c r="S293" s="6"/>
      <c r="T293" s="6"/>
      <c r="U293"/>
      <c r="V293"/>
      <c r="W293"/>
      <c r="X293"/>
    </row>
    <row r="294" spans="1:24" ht="33.75" x14ac:dyDescent="0.2">
      <c r="A294" s="18">
        <v>287</v>
      </c>
      <c r="B294" s="14" t="s">
        <v>103</v>
      </c>
      <c r="C294" s="5" t="s">
        <v>909</v>
      </c>
      <c r="D294" s="13">
        <v>142</v>
      </c>
      <c r="E294" s="14" t="s">
        <v>849</v>
      </c>
      <c r="F294" s="17" t="s">
        <v>42</v>
      </c>
      <c r="G294" s="18">
        <v>2000</v>
      </c>
      <c r="H294" s="24">
        <v>20.64</v>
      </c>
      <c r="I294" s="23">
        <f t="shared" si="5"/>
        <v>41280</v>
      </c>
      <c r="J294" s="12" t="s">
        <v>43</v>
      </c>
      <c r="K294" s="12" t="s">
        <v>41</v>
      </c>
      <c r="L294" s="6"/>
      <c r="M294" s="6"/>
      <c r="N294" s="6"/>
      <c r="O294" s="6"/>
      <c r="P294" s="6"/>
      <c r="Q294" s="6"/>
      <c r="R294" s="6"/>
      <c r="S294" s="6"/>
      <c r="T294" s="6"/>
      <c r="U294"/>
      <c r="V294"/>
      <c r="W294"/>
      <c r="X294"/>
    </row>
    <row r="295" spans="1:24" ht="33.75" x14ac:dyDescent="0.2">
      <c r="A295" s="18">
        <v>288</v>
      </c>
      <c r="B295" s="14" t="s">
        <v>101</v>
      </c>
      <c r="C295" s="5" t="s">
        <v>909</v>
      </c>
      <c r="D295" s="13">
        <v>142</v>
      </c>
      <c r="E295" s="14" t="s">
        <v>850</v>
      </c>
      <c r="F295" s="17" t="s">
        <v>18</v>
      </c>
      <c r="G295" s="18">
        <v>100</v>
      </c>
      <c r="H295" s="24">
        <v>380.29</v>
      </c>
      <c r="I295" s="23">
        <f t="shared" si="5"/>
        <v>38029</v>
      </c>
      <c r="J295" s="12" t="s">
        <v>43</v>
      </c>
      <c r="K295" s="12" t="s">
        <v>41</v>
      </c>
      <c r="L295" s="6"/>
      <c r="M295" s="6"/>
      <c r="N295" s="6"/>
      <c r="O295" s="6"/>
      <c r="P295" s="6"/>
      <c r="Q295" s="6"/>
      <c r="R295" s="6"/>
      <c r="S295" s="6"/>
      <c r="T295" s="6"/>
      <c r="U295"/>
      <c r="V295"/>
      <c r="W295"/>
      <c r="X295"/>
    </row>
    <row r="296" spans="1:24" ht="33.75" x14ac:dyDescent="0.2">
      <c r="A296" s="18">
        <v>289</v>
      </c>
      <c r="B296" s="14" t="s">
        <v>392</v>
      </c>
      <c r="C296" s="5" t="s">
        <v>909</v>
      </c>
      <c r="D296" s="13">
        <v>142</v>
      </c>
      <c r="E296" s="14" t="s">
        <v>851</v>
      </c>
      <c r="F296" s="17" t="s">
        <v>18</v>
      </c>
      <c r="G296" s="18">
        <v>300</v>
      </c>
      <c r="H296" s="24">
        <v>47.35</v>
      </c>
      <c r="I296" s="23">
        <f t="shared" si="5"/>
        <v>14205</v>
      </c>
      <c r="J296" s="12" t="s">
        <v>43</v>
      </c>
      <c r="K296" s="12" t="s">
        <v>41</v>
      </c>
      <c r="L296" s="6"/>
      <c r="M296" s="6"/>
      <c r="N296" s="6"/>
      <c r="O296" s="6"/>
      <c r="P296" s="6"/>
      <c r="Q296" s="6"/>
      <c r="R296" s="6"/>
      <c r="S296" s="6"/>
      <c r="T296" s="6"/>
      <c r="U296"/>
      <c r="V296"/>
      <c r="W296"/>
      <c r="X296"/>
    </row>
    <row r="297" spans="1:24" ht="33.75" x14ac:dyDescent="0.2">
      <c r="A297" s="18">
        <v>290</v>
      </c>
      <c r="B297" s="14" t="s">
        <v>393</v>
      </c>
      <c r="C297" s="5" t="s">
        <v>909</v>
      </c>
      <c r="D297" s="13">
        <v>142</v>
      </c>
      <c r="E297" s="14" t="s">
        <v>852</v>
      </c>
      <c r="F297" s="17" t="s">
        <v>20</v>
      </c>
      <c r="G297" s="18">
        <v>50</v>
      </c>
      <c r="H297" s="24">
        <v>11106.25</v>
      </c>
      <c r="I297" s="23">
        <f t="shared" si="5"/>
        <v>555312.5</v>
      </c>
      <c r="J297" s="12" t="s">
        <v>43</v>
      </c>
      <c r="K297" s="12" t="s">
        <v>41</v>
      </c>
      <c r="L297" s="6"/>
      <c r="M297" s="6"/>
      <c r="N297" s="6"/>
      <c r="O297" s="6"/>
      <c r="P297" s="6"/>
      <c r="Q297" s="6"/>
      <c r="R297" s="6"/>
      <c r="S297" s="6"/>
      <c r="T297" s="6"/>
      <c r="U297"/>
      <c r="V297"/>
      <c r="W297"/>
      <c r="X297"/>
    </row>
    <row r="298" spans="1:24" ht="33.75" x14ac:dyDescent="0.2">
      <c r="A298" s="18">
        <v>291</v>
      </c>
      <c r="B298" s="14" t="s">
        <v>394</v>
      </c>
      <c r="C298" s="5" t="s">
        <v>909</v>
      </c>
      <c r="D298" s="13">
        <v>142</v>
      </c>
      <c r="E298" s="16" t="s">
        <v>394</v>
      </c>
      <c r="F298" s="17" t="s">
        <v>20</v>
      </c>
      <c r="G298" s="18">
        <v>250</v>
      </c>
      <c r="H298" s="24">
        <f>346/1.12</f>
        <v>308.92857142857139</v>
      </c>
      <c r="I298" s="23">
        <f t="shared" si="5"/>
        <v>77232.142857142841</v>
      </c>
      <c r="J298" s="12" t="s">
        <v>43</v>
      </c>
      <c r="K298" s="12" t="s">
        <v>41</v>
      </c>
      <c r="L298" s="6"/>
      <c r="M298" s="6"/>
      <c r="N298" s="6"/>
      <c r="O298" s="6"/>
      <c r="P298" s="6"/>
      <c r="Q298" s="6"/>
      <c r="R298" s="6"/>
      <c r="S298" s="6"/>
      <c r="T298" s="6"/>
      <c r="U298"/>
      <c r="V298"/>
      <c r="W298"/>
      <c r="X298"/>
    </row>
    <row r="299" spans="1:24" ht="33.75" x14ac:dyDescent="0.2">
      <c r="A299" s="18">
        <v>292</v>
      </c>
      <c r="B299" s="14" t="s">
        <v>395</v>
      </c>
      <c r="C299" s="5" t="s">
        <v>909</v>
      </c>
      <c r="D299" s="13">
        <v>142</v>
      </c>
      <c r="E299" s="16" t="s">
        <v>395</v>
      </c>
      <c r="F299" s="17" t="s">
        <v>686</v>
      </c>
      <c r="G299" s="18">
        <v>1000</v>
      </c>
      <c r="H299" s="24">
        <v>118</v>
      </c>
      <c r="I299" s="23">
        <f t="shared" si="5"/>
        <v>118000</v>
      </c>
      <c r="J299" s="12" t="s">
        <v>43</v>
      </c>
      <c r="K299" s="12" t="s">
        <v>41</v>
      </c>
      <c r="L299" s="6"/>
      <c r="M299" s="6"/>
      <c r="N299" s="6"/>
      <c r="O299" s="6"/>
      <c r="P299" s="6"/>
      <c r="Q299" s="6"/>
      <c r="R299" s="6"/>
      <c r="S299" s="6"/>
      <c r="T299" s="6"/>
      <c r="U299"/>
      <c r="V299"/>
      <c r="W299"/>
      <c r="X299"/>
    </row>
    <row r="300" spans="1:24" ht="33.75" x14ac:dyDescent="0.2">
      <c r="A300" s="18">
        <v>293</v>
      </c>
      <c r="B300" s="14" t="s">
        <v>396</v>
      </c>
      <c r="C300" s="5" t="s">
        <v>909</v>
      </c>
      <c r="D300" s="13">
        <v>142</v>
      </c>
      <c r="E300" s="16" t="s">
        <v>396</v>
      </c>
      <c r="F300" s="17" t="s">
        <v>686</v>
      </c>
      <c r="G300" s="18">
        <v>500</v>
      </c>
      <c r="H300" s="24">
        <f>361/1.12</f>
        <v>322.32142857142856</v>
      </c>
      <c r="I300" s="23">
        <f t="shared" si="5"/>
        <v>161160.71428571429</v>
      </c>
      <c r="J300" s="12" t="s">
        <v>43</v>
      </c>
      <c r="K300" s="12" t="s">
        <v>41</v>
      </c>
      <c r="L300" s="6"/>
      <c r="M300" s="6"/>
      <c r="N300" s="6"/>
      <c r="O300" s="6"/>
      <c r="P300" s="6"/>
      <c r="Q300" s="6"/>
      <c r="R300" s="6"/>
      <c r="S300" s="6"/>
      <c r="T300" s="6"/>
      <c r="U300"/>
      <c r="V300"/>
      <c r="W300"/>
      <c r="X300"/>
    </row>
    <row r="301" spans="1:24" ht="33.75" x14ac:dyDescent="0.2">
      <c r="A301" s="18">
        <v>294</v>
      </c>
      <c r="B301" s="7" t="s">
        <v>920</v>
      </c>
      <c r="C301" s="5" t="s">
        <v>909</v>
      </c>
      <c r="D301" s="13">
        <v>142</v>
      </c>
      <c r="E301" s="8" t="s">
        <v>920</v>
      </c>
      <c r="F301" s="5" t="s">
        <v>23</v>
      </c>
      <c r="G301" s="5">
        <v>14000</v>
      </c>
      <c r="H301" s="25">
        <v>96</v>
      </c>
      <c r="I301" s="23">
        <f t="shared" si="5"/>
        <v>1344000</v>
      </c>
      <c r="J301" s="12" t="s">
        <v>43</v>
      </c>
      <c r="K301" s="12" t="s">
        <v>41</v>
      </c>
      <c r="L301" s="6"/>
      <c r="M301" s="6"/>
      <c r="N301" s="6"/>
      <c r="O301" s="6"/>
      <c r="P301" s="6"/>
      <c r="Q301" s="6"/>
      <c r="R301" s="6"/>
      <c r="S301" s="6"/>
      <c r="T301" s="6"/>
      <c r="U301"/>
      <c r="V301"/>
      <c r="W301"/>
      <c r="X301"/>
    </row>
    <row r="302" spans="1:24" ht="33.75" x14ac:dyDescent="0.2">
      <c r="A302" s="18">
        <v>295</v>
      </c>
      <c r="B302" s="7" t="s">
        <v>104</v>
      </c>
      <c r="C302" s="5" t="s">
        <v>909</v>
      </c>
      <c r="D302" s="13">
        <v>142</v>
      </c>
      <c r="E302" s="8" t="s">
        <v>104</v>
      </c>
      <c r="F302" s="5" t="s">
        <v>23</v>
      </c>
      <c r="G302" s="5">
        <v>22000</v>
      </c>
      <c r="H302" s="25">
        <v>103</v>
      </c>
      <c r="I302" s="23">
        <f t="shared" si="5"/>
        <v>2266000</v>
      </c>
      <c r="J302" s="12" t="s">
        <v>43</v>
      </c>
      <c r="K302" s="12" t="s">
        <v>41</v>
      </c>
      <c r="L302" s="6"/>
      <c r="M302" s="6"/>
      <c r="N302" s="6"/>
      <c r="O302" s="6"/>
      <c r="P302" s="6"/>
      <c r="Q302" s="6"/>
      <c r="R302" s="6"/>
      <c r="S302" s="6"/>
      <c r="T302" s="6"/>
      <c r="U302"/>
      <c r="V302"/>
      <c r="W302"/>
      <c r="X302"/>
    </row>
    <row r="303" spans="1:24" ht="33.75" x14ac:dyDescent="0.2">
      <c r="A303" s="18">
        <v>296</v>
      </c>
      <c r="B303" s="7" t="s">
        <v>105</v>
      </c>
      <c r="C303" s="5" t="s">
        <v>909</v>
      </c>
      <c r="D303" s="13">
        <v>142</v>
      </c>
      <c r="E303" s="8" t="s">
        <v>105</v>
      </c>
      <c r="F303" s="5" t="s">
        <v>23</v>
      </c>
      <c r="G303" s="5">
        <v>4000</v>
      </c>
      <c r="H303" s="25">
        <v>104</v>
      </c>
      <c r="I303" s="23">
        <f t="shared" si="5"/>
        <v>416000</v>
      </c>
      <c r="J303" s="12" t="s">
        <v>43</v>
      </c>
      <c r="K303" s="12" t="s">
        <v>41</v>
      </c>
      <c r="L303" s="6"/>
      <c r="M303" s="6"/>
      <c r="N303" s="6"/>
      <c r="O303" s="6"/>
      <c r="P303" s="6"/>
      <c r="Q303" s="6"/>
      <c r="R303" s="6"/>
      <c r="S303" s="6"/>
      <c r="T303" s="6"/>
      <c r="U303"/>
      <c r="V303"/>
      <c r="W303"/>
      <c r="X303"/>
    </row>
    <row r="304" spans="1:24" ht="33.75" x14ac:dyDescent="0.2">
      <c r="A304" s="18">
        <v>297</v>
      </c>
      <c r="B304" s="7" t="s">
        <v>106</v>
      </c>
      <c r="C304" s="5" t="s">
        <v>909</v>
      </c>
      <c r="D304" s="13">
        <v>142</v>
      </c>
      <c r="E304" s="8" t="s">
        <v>106</v>
      </c>
      <c r="F304" s="5" t="s">
        <v>23</v>
      </c>
      <c r="G304" s="5">
        <v>250</v>
      </c>
      <c r="H304" s="25">
        <f>377/1.12</f>
        <v>336.60714285714283</v>
      </c>
      <c r="I304" s="23">
        <f t="shared" si="5"/>
        <v>84151.78571428571</v>
      </c>
      <c r="J304" s="12" t="s">
        <v>43</v>
      </c>
      <c r="K304" s="12" t="s">
        <v>41</v>
      </c>
      <c r="L304" s="6"/>
      <c r="M304" s="6"/>
      <c r="N304" s="6"/>
      <c r="O304" s="6"/>
      <c r="P304" s="6"/>
      <c r="Q304" s="6"/>
      <c r="R304" s="6"/>
      <c r="S304" s="6"/>
      <c r="T304" s="6"/>
      <c r="U304"/>
      <c r="V304"/>
      <c r="W304"/>
      <c r="X304"/>
    </row>
    <row r="305" spans="1:24" ht="33.75" x14ac:dyDescent="0.2">
      <c r="A305" s="18">
        <v>298</v>
      </c>
      <c r="B305" s="7" t="s">
        <v>107</v>
      </c>
      <c r="C305" s="5" t="s">
        <v>909</v>
      </c>
      <c r="D305" s="13">
        <v>142</v>
      </c>
      <c r="E305" s="8" t="s">
        <v>107</v>
      </c>
      <c r="F305" s="5" t="s">
        <v>23</v>
      </c>
      <c r="G305" s="5">
        <v>3900</v>
      </c>
      <c r="H305" s="25">
        <v>260.7</v>
      </c>
      <c r="I305" s="23">
        <f t="shared" si="5"/>
        <v>1016730</v>
      </c>
      <c r="J305" s="12" t="s">
        <v>43</v>
      </c>
      <c r="K305" s="12" t="s">
        <v>41</v>
      </c>
      <c r="L305" s="6"/>
      <c r="M305" s="6"/>
      <c r="N305" s="6"/>
      <c r="O305" s="6"/>
      <c r="P305" s="6"/>
      <c r="Q305" s="6"/>
      <c r="R305" s="6"/>
      <c r="S305" s="6"/>
      <c r="T305" s="6"/>
      <c r="U305"/>
      <c r="V305"/>
      <c r="W305"/>
      <c r="X305"/>
    </row>
    <row r="306" spans="1:24" ht="33.75" x14ac:dyDescent="0.2">
      <c r="A306" s="18">
        <v>299</v>
      </c>
      <c r="B306" s="14" t="s">
        <v>108</v>
      </c>
      <c r="C306" s="5" t="s">
        <v>909</v>
      </c>
      <c r="D306" s="13">
        <v>142</v>
      </c>
      <c r="E306" s="16" t="s">
        <v>108</v>
      </c>
      <c r="F306" s="5" t="s">
        <v>23</v>
      </c>
      <c r="G306" s="5">
        <v>4500</v>
      </c>
      <c r="H306" s="25">
        <v>308.89999999999998</v>
      </c>
      <c r="I306" s="23">
        <f t="shared" si="5"/>
        <v>1390050</v>
      </c>
      <c r="J306" s="12" t="s">
        <v>43</v>
      </c>
      <c r="K306" s="12" t="s">
        <v>41</v>
      </c>
      <c r="L306" s="6"/>
      <c r="M306" s="6"/>
      <c r="N306" s="6"/>
      <c r="O306" s="6"/>
      <c r="P306" s="6"/>
      <c r="Q306" s="6"/>
      <c r="R306" s="6"/>
      <c r="S306" s="6"/>
      <c r="T306" s="6"/>
      <c r="U306"/>
      <c r="V306"/>
      <c r="W306"/>
      <c r="X306"/>
    </row>
    <row r="307" spans="1:24" ht="33.75" x14ac:dyDescent="0.2">
      <c r="A307" s="18">
        <v>300</v>
      </c>
      <c r="B307" s="14" t="s">
        <v>109</v>
      </c>
      <c r="C307" s="5" t="s">
        <v>909</v>
      </c>
      <c r="D307" s="13">
        <v>142</v>
      </c>
      <c r="E307" s="16" t="s">
        <v>109</v>
      </c>
      <c r="F307" s="5" t="s">
        <v>23</v>
      </c>
      <c r="G307" s="5">
        <v>1700</v>
      </c>
      <c r="H307" s="25">
        <f>377/1.12</f>
        <v>336.60714285714283</v>
      </c>
      <c r="I307" s="23">
        <f t="shared" si="5"/>
        <v>572232.14285714284</v>
      </c>
      <c r="J307" s="12" t="s">
        <v>43</v>
      </c>
      <c r="K307" s="12" t="s">
        <v>41</v>
      </c>
      <c r="L307" s="6"/>
      <c r="M307" s="6"/>
      <c r="N307" s="6"/>
      <c r="O307" s="6"/>
      <c r="P307" s="6"/>
      <c r="Q307" s="6"/>
      <c r="R307" s="6"/>
      <c r="S307" s="6"/>
      <c r="T307" s="6"/>
      <c r="U307"/>
      <c r="V307"/>
      <c r="W307"/>
      <c r="X307"/>
    </row>
    <row r="308" spans="1:24" ht="33.75" x14ac:dyDescent="0.2">
      <c r="A308" s="18">
        <v>301</v>
      </c>
      <c r="B308" s="14" t="s">
        <v>110</v>
      </c>
      <c r="C308" s="5" t="s">
        <v>909</v>
      </c>
      <c r="D308" s="13">
        <v>142</v>
      </c>
      <c r="E308" s="16" t="s">
        <v>110</v>
      </c>
      <c r="F308" s="5" t="s">
        <v>23</v>
      </c>
      <c r="G308" s="5">
        <v>330</v>
      </c>
      <c r="H308" s="25">
        <v>281.25</v>
      </c>
      <c r="I308" s="23">
        <f t="shared" si="5"/>
        <v>92812.5</v>
      </c>
      <c r="J308" s="12" t="s">
        <v>43</v>
      </c>
      <c r="K308" s="12" t="s">
        <v>41</v>
      </c>
      <c r="L308" s="6"/>
      <c r="M308" s="6"/>
      <c r="N308" s="6"/>
      <c r="O308" s="6"/>
      <c r="P308" s="6"/>
      <c r="Q308" s="6"/>
      <c r="R308" s="6"/>
      <c r="S308" s="6"/>
      <c r="T308" s="6"/>
      <c r="U308"/>
      <c r="V308"/>
      <c r="W308"/>
      <c r="X308"/>
    </row>
    <row r="309" spans="1:24" ht="33.75" x14ac:dyDescent="0.2">
      <c r="A309" s="18">
        <v>302</v>
      </c>
      <c r="B309" s="14" t="s">
        <v>111</v>
      </c>
      <c r="C309" s="5" t="s">
        <v>909</v>
      </c>
      <c r="D309" s="13">
        <v>142</v>
      </c>
      <c r="E309" s="16" t="s">
        <v>111</v>
      </c>
      <c r="F309" s="5" t="s">
        <v>23</v>
      </c>
      <c r="G309" s="5">
        <v>30</v>
      </c>
      <c r="H309" s="25">
        <f>392/1.12</f>
        <v>349.99999999999994</v>
      </c>
      <c r="I309" s="23">
        <f t="shared" si="5"/>
        <v>10499.999999999998</v>
      </c>
      <c r="J309" s="12" t="s">
        <v>43</v>
      </c>
      <c r="K309" s="12" t="s">
        <v>41</v>
      </c>
      <c r="L309" s="6"/>
      <c r="M309" s="6"/>
      <c r="N309" s="6"/>
      <c r="O309" s="6"/>
      <c r="P309" s="6"/>
      <c r="Q309" s="6"/>
      <c r="R309" s="6"/>
      <c r="S309" s="6"/>
      <c r="T309" s="6"/>
      <c r="U309"/>
      <c r="V309"/>
      <c r="W309"/>
      <c r="X309"/>
    </row>
    <row r="310" spans="1:24" ht="33.75" x14ac:dyDescent="0.2">
      <c r="A310" s="18">
        <v>303</v>
      </c>
      <c r="B310" s="14" t="s">
        <v>112</v>
      </c>
      <c r="C310" s="5" t="s">
        <v>909</v>
      </c>
      <c r="D310" s="13">
        <v>142</v>
      </c>
      <c r="E310" s="16" t="s">
        <v>112</v>
      </c>
      <c r="F310" s="5" t="s">
        <v>23</v>
      </c>
      <c r="G310" s="5">
        <v>800</v>
      </c>
      <c r="H310" s="25">
        <v>102.6</v>
      </c>
      <c r="I310" s="23">
        <f t="shared" si="5"/>
        <v>82080</v>
      </c>
      <c r="J310" s="12" t="s">
        <v>43</v>
      </c>
      <c r="K310" s="12" t="s">
        <v>41</v>
      </c>
      <c r="L310" s="6"/>
      <c r="M310" s="6"/>
      <c r="N310" s="6"/>
      <c r="O310" s="6"/>
      <c r="P310" s="6"/>
      <c r="Q310" s="6"/>
      <c r="R310" s="6"/>
      <c r="S310" s="6"/>
      <c r="T310" s="6"/>
      <c r="U310"/>
      <c r="V310"/>
      <c r="W310"/>
      <c r="X310"/>
    </row>
    <row r="311" spans="1:24" ht="33.75" x14ac:dyDescent="0.2">
      <c r="A311" s="18">
        <v>304</v>
      </c>
      <c r="B311" s="14" t="s">
        <v>113</v>
      </c>
      <c r="C311" s="5" t="s">
        <v>909</v>
      </c>
      <c r="D311" s="13">
        <v>142</v>
      </c>
      <c r="E311" s="16" t="s">
        <v>113</v>
      </c>
      <c r="F311" s="5" t="s">
        <v>23</v>
      </c>
      <c r="G311" s="5">
        <v>1500</v>
      </c>
      <c r="H311" s="25">
        <f>223/1.12</f>
        <v>199.10714285714283</v>
      </c>
      <c r="I311" s="23">
        <f t="shared" si="5"/>
        <v>298660.71428571426</v>
      </c>
      <c r="J311" s="12" t="s">
        <v>43</v>
      </c>
      <c r="K311" s="12" t="s">
        <v>41</v>
      </c>
      <c r="L311" s="6"/>
      <c r="M311" s="6"/>
      <c r="N311" s="6"/>
      <c r="O311" s="6"/>
      <c r="P311" s="6"/>
      <c r="Q311" s="6"/>
      <c r="R311" s="6"/>
      <c r="S311" s="6"/>
      <c r="T311" s="6"/>
      <c r="U311"/>
      <c r="V311"/>
      <c r="W311"/>
      <c r="X311"/>
    </row>
    <row r="312" spans="1:24" ht="33.75" x14ac:dyDescent="0.2">
      <c r="A312" s="18">
        <v>305</v>
      </c>
      <c r="B312" s="14" t="s">
        <v>114</v>
      </c>
      <c r="C312" s="5" t="s">
        <v>909</v>
      </c>
      <c r="D312" s="13">
        <v>142</v>
      </c>
      <c r="E312" s="16" t="s">
        <v>114</v>
      </c>
      <c r="F312" s="5" t="s">
        <v>23</v>
      </c>
      <c r="G312" s="5">
        <v>360</v>
      </c>
      <c r="H312" s="25">
        <f>484/1.12</f>
        <v>432.14285714285711</v>
      </c>
      <c r="I312" s="23">
        <f t="shared" si="5"/>
        <v>155571.42857142855</v>
      </c>
      <c r="J312" s="12" t="s">
        <v>43</v>
      </c>
      <c r="K312" s="12" t="s">
        <v>41</v>
      </c>
      <c r="L312" s="6"/>
      <c r="M312" s="6"/>
      <c r="N312" s="6"/>
      <c r="O312" s="6"/>
      <c r="P312" s="6"/>
      <c r="Q312" s="6"/>
      <c r="R312" s="6"/>
      <c r="S312" s="6"/>
      <c r="T312" s="6"/>
      <c r="U312"/>
      <c r="V312"/>
      <c r="W312"/>
      <c r="X312"/>
    </row>
    <row r="313" spans="1:24" ht="33.75" x14ac:dyDescent="0.2">
      <c r="A313" s="18">
        <v>306</v>
      </c>
      <c r="B313" s="14" t="s">
        <v>115</v>
      </c>
      <c r="C313" s="5" t="s">
        <v>909</v>
      </c>
      <c r="D313" s="13">
        <v>142</v>
      </c>
      <c r="E313" s="16" t="s">
        <v>115</v>
      </c>
      <c r="F313" s="5" t="s">
        <v>23</v>
      </c>
      <c r="G313" s="5">
        <v>420</v>
      </c>
      <c r="H313" s="25">
        <f>161/1.12</f>
        <v>143.75</v>
      </c>
      <c r="I313" s="23">
        <f t="shared" si="5"/>
        <v>60375</v>
      </c>
      <c r="J313" s="12" t="s">
        <v>43</v>
      </c>
      <c r="K313" s="12" t="s">
        <v>41</v>
      </c>
      <c r="L313" s="6"/>
      <c r="M313" s="6"/>
      <c r="N313" s="6"/>
      <c r="O313" s="6"/>
      <c r="P313" s="6"/>
      <c r="Q313" s="6"/>
      <c r="R313" s="6"/>
      <c r="S313" s="6"/>
      <c r="T313" s="6"/>
      <c r="U313"/>
      <c r="V313"/>
      <c r="W313"/>
      <c r="X313"/>
    </row>
    <row r="314" spans="1:24" ht="33.75" x14ac:dyDescent="0.2">
      <c r="A314" s="18">
        <v>307</v>
      </c>
      <c r="B314" s="14" t="s">
        <v>116</v>
      </c>
      <c r="C314" s="5" t="s">
        <v>909</v>
      </c>
      <c r="D314" s="13">
        <v>142</v>
      </c>
      <c r="E314" s="16" t="s">
        <v>116</v>
      </c>
      <c r="F314" s="5" t="s">
        <v>23</v>
      </c>
      <c r="G314" s="5">
        <v>500</v>
      </c>
      <c r="H314" s="25">
        <f>177/1.12</f>
        <v>158.03571428571428</v>
      </c>
      <c r="I314" s="23">
        <f t="shared" si="5"/>
        <v>79017.857142857145</v>
      </c>
      <c r="J314" s="12" t="s">
        <v>43</v>
      </c>
      <c r="K314" s="12" t="s">
        <v>41</v>
      </c>
      <c r="L314" s="6"/>
      <c r="M314" s="6"/>
      <c r="N314" s="6"/>
      <c r="O314" s="6"/>
      <c r="P314" s="6"/>
      <c r="Q314" s="6"/>
      <c r="R314" s="6"/>
      <c r="S314" s="6"/>
      <c r="T314" s="6"/>
      <c r="U314"/>
      <c r="V314"/>
      <c r="W314"/>
      <c r="X314"/>
    </row>
    <row r="315" spans="1:24" ht="33.75" x14ac:dyDescent="0.2">
      <c r="A315" s="18">
        <v>308</v>
      </c>
      <c r="B315" s="14" t="s">
        <v>117</v>
      </c>
      <c r="C315" s="5" t="s">
        <v>909</v>
      </c>
      <c r="D315" s="13">
        <v>142</v>
      </c>
      <c r="E315" s="16" t="s">
        <v>117</v>
      </c>
      <c r="F315" s="5" t="s">
        <v>23</v>
      </c>
      <c r="G315" s="5">
        <v>25</v>
      </c>
      <c r="H315" s="25">
        <f>415/1.12</f>
        <v>370.53571428571428</v>
      </c>
      <c r="I315" s="23">
        <f t="shared" si="5"/>
        <v>9263.3928571428569</v>
      </c>
      <c r="J315" s="12" t="s">
        <v>43</v>
      </c>
      <c r="K315" s="12" t="s">
        <v>41</v>
      </c>
      <c r="L315" s="6"/>
      <c r="M315" s="6"/>
      <c r="N315" s="6"/>
      <c r="O315" s="6"/>
      <c r="P315" s="6"/>
      <c r="Q315" s="6"/>
      <c r="R315" s="6"/>
      <c r="S315" s="6"/>
      <c r="T315" s="6"/>
      <c r="U315"/>
      <c r="V315"/>
      <c r="W315"/>
      <c r="X315"/>
    </row>
    <row r="316" spans="1:24" ht="33.75" x14ac:dyDescent="0.2">
      <c r="A316" s="18">
        <v>309</v>
      </c>
      <c r="B316" s="14" t="s">
        <v>118</v>
      </c>
      <c r="C316" s="5" t="s">
        <v>909</v>
      </c>
      <c r="D316" s="13">
        <v>142</v>
      </c>
      <c r="E316" s="16" t="s">
        <v>118</v>
      </c>
      <c r="F316" s="5" t="s">
        <v>23</v>
      </c>
      <c r="G316" s="5">
        <v>115</v>
      </c>
      <c r="H316" s="25">
        <v>247.3</v>
      </c>
      <c r="I316" s="23">
        <f t="shared" si="5"/>
        <v>28439.5</v>
      </c>
      <c r="J316" s="12" t="s">
        <v>43</v>
      </c>
      <c r="K316" s="12" t="s">
        <v>41</v>
      </c>
      <c r="L316" s="6"/>
      <c r="M316" s="6"/>
      <c r="N316" s="6"/>
      <c r="O316" s="6"/>
      <c r="P316" s="6"/>
      <c r="Q316" s="6"/>
      <c r="R316" s="6"/>
      <c r="S316" s="6"/>
      <c r="T316" s="6"/>
      <c r="U316"/>
      <c r="V316"/>
      <c r="W316"/>
      <c r="X316"/>
    </row>
    <row r="317" spans="1:24" ht="33.75" x14ac:dyDescent="0.2">
      <c r="A317" s="18">
        <v>310</v>
      </c>
      <c r="B317" s="14" t="s">
        <v>119</v>
      </c>
      <c r="C317" s="5" t="s">
        <v>909</v>
      </c>
      <c r="D317" s="13">
        <v>142</v>
      </c>
      <c r="E317" s="16" t="s">
        <v>119</v>
      </c>
      <c r="F317" s="5" t="s">
        <v>23</v>
      </c>
      <c r="G317" s="5">
        <v>500</v>
      </c>
      <c r="H317" s="24">
        <f>284/1.12</f>
        <v>253.57142857142856</v>
      </c>
      <c r="I317" s="23">
        <f t="shared" si="5"/>
        <v>126785.71428571428</v>
      </c>
      <c r="J317" s="12" t="s">
        <v>43</v>
      </c>
      <c r="K317" s="12" t="s">
        <v>41</v>
      </c>
      <c r="L317" s="6"/>
      <c r="M317" s="6"/>
      <c r="N317" s="6"/>
      <c r="O317" s="6"/>
      <c r="P317" s="6"/>
      <c r="Q317" s="6"/>
      <c r="R317" s="6"/>
      <c r="S317" s="6"/>
      <c r="T317" s="6"/>
      <c r="U317"/>
      <c r="V317"/>
      <c r="W317"/>
      <c r="X317"/>
    </row>
    <row r="318" spans="1:24" ht="33.75" x14ac:dyDescent="0.2">
      <c r="A318" s="18">
        <v>311</v>
      </c>
      <c r="B318" s="14" t="s">
        <v>120</v>
      </c>
      <c r="C318" s="5" t="s">
        <v>909</v>
      </c>
      <c r="D318" s="13">
        <v>142</v>
      </c>
      <c r="E318" s="16" t="s">
        <v>120</v>
      </c>
      <c r="F318" s="5" t="s">
        <v>23</v>
      </c>
      <c r="G318" s="5">
        <v>70</v>
      </c>
      <c r="H318" s="24">
        <f>1846/1.12</f>
        <v>1648.2142857142856</v>
      </c>
      <c r="I318" s="23">
        <f t="shared" si="5"/>
        <v>115374.99999999999</v>
      </c>
      <c r="J318" s="12" t="s">
        <v>43</v>
      </c>
      <c r="K318" s="12" t="s">
        <v>41</v>
      </c>
      <c r="L318" s="6"/>
      <c r="M318" s="6"/>
      <c r="N318" s="6"/>
      <c r="O318" s="6"/>
      <c r="P318" s="6"/>
      <c r="Q318" s="6"/>
      <c r="R318" s="6"/>
      <c r="S318" s="6"/>
      <c r="T318" s="6"/>
      <c r="U318"/>
      <c r="V318"/>
      <c r="W318"/>
      <c r="X318"/>
    </row>
    <row r="319" spans="1:24" ht="33.75" x14ac:dyDescent="0.2">
      <c r="A319" s="18">
        <v>312</v>
      </c>
      <c r="B319" s="14" t="s">
        <v>121</v>
      </c>
      <c r="C319" s="5" t="s">
        <v>909</v>
      </c>
      <c r="D319" s="13">
        <v>142</v>
      </c>
      <c r="E319" s="16" t="s">
        <v>121</v>
      </c>
      <c r="F319" s="5" t="s">
        <v>23</v>
      </c>
      <c r="G319" s="5">
        <v>50</v>
      </c>
      <c r="H319" s="25">
        <f>315/1.12</f>
        <v>281.25</v>
      </c>
      <c r="I319" s="23">
        <f t="shared" si="5"/>
        <v>14062.5</v>
      </c>
      <c r="J319" s="12" t="s">
        <v>43</v>
      </c>
      <c r="K319" s="12" t="s">
        <v>41</v>
      </c>
      <c r="L319" s="6"/>
      <c r="M319" s="6"/>
      <c r="N319" s="6"/>
      <c r="O319" s="6"/>
      <c r="P319" s="6"/>
      <c r="Q319" s="6"/>
      <c r="R319" s="6"/>
      <c r="S319" s="6"/>
      <c r="T319" s="6"/>
      <c r="U319"/>
      <c r="V319"/>
      <c r="W319"/>
      <c r="X319"/>
    </row>
    <row r="320" spans="1:24" ht="33.75" x14ac:dyDescent="0.2">
      <c r="A320" s="18">
        <v>313</v>
      </c>
      <c r="B320" s="14" t="s">
        <v>122</v>
      </c>
      <c r="C320" s="5" t="s">
        <v>909</v>
      </c>
      <c r="D320" s="13">
        <v>142</v>
      </c>
      <c r="E320" s="16" t="s">
        <v>122</v>
      </c>
      <c r="F320" s="15" t="s">
        <v>24</v>
      </c>
      <c r="G320" s="5">
        <v>150</v>
      </c>
      <c r="H320" s="25">
        <f>185/1.12</f>
        <v>165.17857142857142</v>
      </c>
      <c r="I320" s="23">
        <f t="shared" si="5"/>
        <v>24776.785714285714</v>
      </c>
      <c r="J320" s="12" t="s">
        <v>43</v>
      </c>
      <c r="K320" s="12" t="s">
        <v>41</v>
      </c>
      <c r="L320" s="6"/>
      <c r="M320" s="6"/>
      <c r="N320" s="6"/>
      <c r="O320" s="6"/>
      <c r="P320" s="6"/>
      <c r="Q320" s="6"/>
      <c r="R320" s="6"/>
      <c r="S320" s="6"/>
      <c r="T320" s="6"/>
      <c r="U320"/>
      <c r="V320"/>
      <c r="W320"/>
      <c r="X320"/>
    </row>
    <row r="321" spans="1:24" ht="33.75" x14ac:dyDescent="0.2">
      <c r="A321" s="18">
        <v>314</v>
      </c>
      <c r="B321" s="14" t="s">
        <v>123</v>
      </c>
      <c r="C321" s="5" t="s">
        <v>909</v>
      </c>
      <c r="D321" s="13">
        <v>142</v>
      </c>
      <c r="E321" s="16" t="s">
        <v>123</v>
      </c>
      <c r="F321" s="15" t="s">
        <v>24</v>
      </c>
      <c r="G321" s="5">
        <v>7</v>
      </c>
      <c r="H321" s="25">
        <f>2200/1.12</f>
        <v>1964.285714285714</v>
      </c>
      <c r="I321" s="23">
        <f t="shared" si="5"/>
        <v>13749.999999999998</v>
      </c>
      <c r="J321" s="12" t="s">
        <v>43</v>
      </c>
      <c r="K321" s="12" t="s">
        <v>41</v>
      </c>
      <c r="L321" s="6"/>
      <c r="M321" s="6"/>
      <c r="N321" s="6"/>
      <c r="O321" s="6"/>
      <c r="P321" s="6"/>
      <c r="Q321" s="6"/>
      <c r="R321" s="6"/>
      <c r="S321" s="6"/>
      <c r="T321" s="6"/>
      <c r="U321"/>
      <c r="V321"/>
      <c r="W321"/>
      <c r="X321"/>
    </row>
    <row r="322" spans="1:24" ht="33.75" x14ac:dyDescent="0.2">
      <c r="A322" s="18">
        <v>315</v>
      </c>
      <c r="B322" s="14" t="s">
        <v>124</v>
      </c>
      <c r="C322" s="5" t="s">
        <v>909</v>
      </c>
      <c r="D322" s="13">
        <v>142</v>
      </c>
      <c r="E322" s="16" t="s">
        <v>124</v>
      </c>
      <c r="F322" s="15" t="s">
        <v>25</v>
      </c>
      <c r="G322" s="5">
        <v>5</v>
      </c>
      <c r="H322" s="25">
        <f>490/1.12</f>
        <v>437.49999999999994</v>
      </c>
      <c r="I322" s="23">
        <f t="shared" si="5"/>
        <v>2187.4999999999995</v>
      </c>
      <c r="J322" s="12" t="s">
        <v>43</v>
      </c>
      <c r="K322" s="12" t="s">
        <v>41</v>
      </c>
      <c r="L322" s="6"/>
      <c r="M322" s="6"/>
      <c r="N322" s="6"/>
      <c r="O322" s="6"/>
      <c r="P322" s="6"/>
      <c r="Q322" s="6"/>
      <c r="R322" s="6"/>
      <c r="S322" s="6"/>
      <c r="T322" s="6"/>
      <c r="U322"/>
      <c r="V322"/>
      <c r="W322"/>
      <c r="X322"/>
    </row>
    <row r="323" spans="1:24" ht="33.75" x14ac:dyDescent="0.2">
      <c r="A323" s="18">
        <v>316</v>
      </c>
      <c r="B323" s="14" t="s">
        <v>125</v>
      </c>
      <c r="C323" s="5" t="s">
        <v>909</v>
      </c>
      <c r="D323" s="13">
        <v>142</v>
      </c>
      <c r="E323" s="16" t="s">
        <v>125</v>
      </c>
      <c r="F323" s="5" t="s">
        <v>23</v>
      </c>
      <c r="G323" s="5">
        <v>22</v>
      </c>
      <c r="H323" s="25">
        <f>269/1.12</f>
        <v>240.17857142857142</v>
      </c>
      <c r="I323" s="23">
        <f t="shared" si="5"/>
        <v>5283.9285714285716</v>
      </c>
      <c r="J323" s="12" t="s">
        <v>43</v>
      </c>
      <c r="K323" s="12" t="s">
        <v>41</v>
      </c>
      <c r="L323" s="6"/>
      <c r="M323" s="6"/>
      <c r="N323" s="6"/>
      <c r="O323" s="6"/>
      <c r="P323" s="6"/>
      <c r="Q323" s="6"/>
      <c r="R323" s="6"/>
      <c r="S323" s="6"/>
      <c r="T323" s="6"/>
      <c r="U323"/>
      <c r="V323"/>
      <c r="W323"/>
      <c r="X323"/>
    </row>
    <row r="324" spans="1:24" ht="33.75" x14ac:dyDescent="0.2">
      <c r="A324" s="18">
        <v>317</v>
      </c>
      <c r="B324" s="14" t="s">
        <v>126</v>
      </c>
      <c r="C324" s="5" t="s">
        <v>909</v>
      </c>
      <c r="D324" s="13">
        <v>142</v>
      </c>
      <c r="E324" s="16" t="s">
        <v>126</v>
      </c>
      <c r="F324" s="5" t="s">
        <v>23</v>
      </c>
      <c r="G324" s="5">
        <v>22</v>
      </c>
      <c r="H324" s="25">
        <f>423/1.12</f>
        <v>377.67857142857139</v>
      </c>
      <c r="I324" s="23">
        <f t="shared" si="5"/>
        <v>8308.9285714285706</v>
      </c>
      <c r="J324" s="12" t="s">
        <v>43</v>
      </c>
      <c r="K324" s="12" t="s">
        <v>41</v>
      </c>
      <c r="L324" s="6"/>
      <c r="M324" s="6"/>
      <c r="N324" s="6"/>
      <c r="O324" s="6"/>
      <c r="P324" s="6"/>
      <c r="Q324" s="6"/>
      <c r="R324" s="6"/>
      <c r="S324" s="6"/>
      <c r="T324" s="6"/>
      <c r="U324"/>
      <c r="V324"/>
      <c r="W324"/>
      <c r="X324"/>
    </row>
    <row r="325" spans="1:24" ht="33.75" x14ac:dyDescent="0.2">
      <c r="A325" s="18">
        <v>318</v>
      </c>
      <c r="B325" s="14" t="s">
        <v>127</v>
      </c>
      <c r="C325" s="5" t="s">
        <v>909</v>
      </c>
      <c r="D325" s="13">
        <v>142</v>
      </c>
      <c r="E325" s="16" t="s">
        <v>127</v>
      </c>
      <c r="F325" s="15" t="s">
        <v>42</v>
      </c>
      <c r="G325" s="5">
        <v>150</v>
      </c>
      <c r="H325" s="25">
        <f>230/1.12</f>
        <v>205.35714285714283</v>
      </c>
      <c r="I325" s="23">
        <f t="shared" si="5"/>
        <v>30803.571428571424</v>
      </c>
      <c r="J325" s="12" t="s">
        <v>43</v>
      </c>
      <c r="K325" s="12" t="s">
        <v>41</v>
      </c>
      <c r="L325" s="6"/>
      <c r="M325" s="6"/>
      <c r="N325" s="6"/>
      <c r="O325" s="6"/>
      <c r="P325" s="6"/>
      <c r="Q325" s="6"/>
      <c r="R325" s="6"/>
      <c r="S325" s="6"/>
      <c r="T325" s="6"/>
      <c r="U325"/>
      <c r="V325"/>
      <c r="W325"/>
      <c r="X325"/>
    </row>
    <row r="326" spans="1:24" ht="33.75" x14ac:dyDescent="0.2">
      <c r="A326" s="18">
        <v>319</v>
      </c>
      <c r="B326" s="14" t="s">
        <v>128</v>
      </c>
      <c r="C326" s="5" t="s">
        <v>909</v>
      </c>
      <c r="D326" s="13">
        <v>142</v>
      </c>
      <c r="E326" s="16" t="s">
        <v>128</v>
      </c>
      <c r="F326" s="5" t="s">
        <v>23</v>
      </c>
      <c r="G326" s="5">
        <v>40</v>
      </c>
      <c r="H326" s="25">
        <f>738/1.12</f>
        <v>658.92857142857133</v>
      </c>
      <c r="I326" s="23">
        <f t="shared" si="5"/>
        <v>26357.142857142855</v>
      </c>
      <c r="J326" s="12" t="s">
        <v>43</v>
      </c>
      <c r="K326" s="12" t="s">
        <v>41</v>
      </c>
      <c r="L326" s="6"/>
      <c r="M326" s="6"/>
      <c r="N326" s="6"/>
      <c r="O326" s="6"/>
      <c r="P326" s="6"/>
      <c r="Q326" s="6"/>
      <c r="R326" s="6"/>
      <c r="S326" s="6"/>
      <c r="T326" s="6"/>
      <c r="U326"/>
      <c r="V326"/>
      <c r="W326"/>
      <c r="X326"/>
    </row>
    <row r="327" spans="1:24" ht="33.75" x14ac:dyDescent="0.2">
      <c r="A327" s="18">
        <v>320</v>
      </c>
      <c r="B327" s="14" t="s">
        <v>129</v>
      </c>
      <c r="C327" s="5" t="s">
        <v>909</v>
      </c>
      <c r="D327" s="13">
        <v>142</v>
      </c>
      <c r="E327" s="16" t="s">
        <v>129</v>
      </c>
      <c r="F327" s="15" t="s">
        <v>42</v>
      </c>
      <c r="G327" s="5">
        <v>10</v>
      </c>
      <c r="H327" s="25">
        <f>677/1.12</f>
        <v>604.46428571428567</v>
      </c>
      <c r="I327" s="23">
        <f t="shared" si="5"/>
        <v>6044.6428571428569</v>
      </c>
      <c r="J327" s="12" t="s">
        <v>43</v>
      </c>
      <c r="K327" s="12" t="s">
        <v>41</v>
      </c>
      <c r="L327" s="6"/>
      <c r="M327" s="6"/>
      <c r="N327" s="6"/>
      <c r="O327" s="6"/>
      <c r="P327" s="6"/>
      <c r="Q327" s="6"/>
      <c r="R327" s="6"/>
      <c r="S327" s="6"/>
      <c r="T327" s="6"/>
      <c r="U327"/>
      <c r="V327"/>
      <c r="W327"/>
      <c r="X327"/>
    </row>
    <row r="328" spans="1:24" ht="33.75" x14ac:dyDescent="0.2">
      <c r="A328" s="18">
        <v>321</v>
      </c>
      <c r="B328" s="21" t="s">
        <v>397</v>
      </c>
      <c r="C328" s="5" t="s">
        <v>909</v>
      </c>
      <c r="D328" s="13">
        <v>142</v>
      </c>
      <c r="E328" s="21" t="s">
        <v>397</v>
      </c>
      <c r="F328" s="9" t="s">
        <v>687</v>
      </c>
      <c r="G328" s="9">
        <v>7400</v>
      </c>
      <c r="H328" s="25">
        <f>3000/1.12</f>
        <v>2678.5714285714284</v>
      </c>
      <c r="I328" s="23">
        <f t="shared" si="5"/>
        <v>19821428.571428571</v>
      </c>
      <c r="J328" s="12" t="s">
        <v>43</v>
      </c>
      <c r="K328" s="12" t="s">
        <v>41</v>
      </c>
      <c r="L328" s="6"/>
      <c r="M328" s="6"/>
      <c r="N328" s="6"/>
      <c r="O328" s="6"/>
      <c r="P328" s="6"/>
      <c r="Q328" s="6"/>
      <c r="R328" s="6"/>
      <c r="S328" s="6"/>
      <c r="T328" s="6"/>
      <c r="U328"/>
      <c r="V328"/>
      <c r="W328"/>
      <c r="X328"/>
    </row>
    <row r="329" spans="1:24" ht="33.75" x14ac:dyDescent="0.2">
      <c r="A329" s="18">
        <v>322</v>
      </c>
      <c r="B329" s="21" t="s">
        <v>398</v>
      </c>
      <c r="C329" s="5" t="s">
        <v>909</v>
      </c>
      <c r="D329" s="13">
        <v>142</v>
      </c>
      <c r="E329" s="21" t="s">
        <v>398</v>
      </c>
      <c r="F329" s="9" t="s">
        <v>688</v>
      </c>
      <c r="G329" s="9">
        <v>2860</v>
      </c>
      <c r="H329" s="25">
        <f>3000/1.12</f>
        <v>2678.5714285714284</v>
      </c>
      <c r="I329" s="23">
        <f t="shared" si="5"/>
        <v>7660714.2857142854</v>
      </c>
      <c r="J329" s="12" t="s">
        <v>43</v>
      </c>
      <c r="K329" s="12" t="s">
        <v>41</v>
      </c>
      <c r="L329" s="6"/>
      <c r="M329" s="6"/>
      <c r="N329" s="6"/>
      <c r="O329" s="6"/>
      <c r="P329" s="6"/>
      <c r="Q329" s="6"/>
      <c r="R329" s="6"/>
      <c r="S329" s="6"/>
      <c r="T329" s="6"/>
      <c r="U329"/>
      <c r="V329"/>
      <c r="W329"/>
      <c r="X329"/>
    </row>
    <row r="330" spans="1:24" ht="33.75" x14ac:dyDescent="0.2">
      <c r="A330" s="18">
        <v>323</v>
      </c>
      <c r="B330" s="21" t="s">
        <v>399</v>
      </c>
      <c r="C330" s="5" t="s">
        <v>909</v>
      </c>
      <c r="D330" s="13">
        <v>142</v>
      </c>
      <c r="E330" s="21" t="s">
        <v>399</v>
      </c>
      <c r="F330" s="9" t="s">
        <v>53</v>
      </c>
      <c r="G330" s="9">
        <v>1300</v>
      </c>
      <c r="H330" s="25">
        <f>3000/1.12</f>
        <v>2678.5714285714284</v>
      </c>
      <c r="I330" s="23">
        <f t="shared" si="5"/>
        <v>3482142.8571428568</v>
      </c>
      <c r="J330" s="12" t="s">
        <v>43</v>
      </c>
      <c r="K330" s="12" t="s">
        <v>41</v>
      </c>
      <c r="L330" s="6"/>
      <c r="M330" s="6"/>
      <c r="N330" s="6"/>
      <c r="O330" s="6"/>
      <c r="P330" s="6"/>
      <c r="Q330" s="6"/>
      <c r="R330" s="6"/>
      <c r="S330" s="6"/>
      <c r="T330" s="6"/>
      <c r="U330"/>
      <c r="V330"/>
      <c r="W330"/>
      <c r="X330"/>
    </row>
    <row r="331" spans="1:24" ht="33.75" x14ac:dyDescent="0.2">
      <c r="A331" s="18">
        <v>324</v>
      </c>
      <c r="B331" s="21" t="s">
        <v>400</v>
      </c>
      <c r="C331" s="5" t="s">
        <v>909</v>
      </c>
      <c r="D331" s="13">
        <v>142</v>
      </c>
      <c r="E331" s="21" t="s">
        <v>400</v>
      </c>
      <c r="F331" s="9" t="s">
        <v>689</v>
      </c>
      <c r="G331" s="9">
        <v>330</v>
      </c>
      <c r="H331" s="25">
        <v>10714.28</v>
      </c>
      <c r="I331" s="23">
        <f t="shared" si="5"/>
        <v>3535712.4000000004</v>
      </c>
      <c r="J331" s="12" t="s">
        <v>43</v>
      </c>
      <c r="K331" s="12" t="s">
        <v>41</v>
      </c>
      <c r="L331" s="6"/>
      <c r="M331" s="6"/>
      <c r="N331" s="6"/>
      <c r="O331" s="6"/>
      <c r="P331" s="6"/>
      <c r="Q331" s="6"/>
      <c r="R331" s="6"/>
      <c r="S331" s="6"/>
      <c r="T331" s="6"/>
      <c r="U331"/>
      <c r="V331"/>
      <c r="W331"/>
      <c r="X331"/>
    </row>
    <row r="332" spans="1:24" ht="33.75" x14ac:dyDescent="0.2">
      <c r="A332" s="18">
        <v>325</v>
      </c>
      <c r="B332" s="21" t="s">
        <v>401</v>
      </c>
      <c r="C332" s="5" t="s">
        <v>909</v>
      </c>
      <c r="D332" s="13">
        <v>142</v>
      </c>
      <c r="E332" s="21" t="s">
        <v>401</v>
      </c>
      <c r="F332" s="9" t="s">
        <v>687</v>
      </c>
      <c r="G332" s="9">
        <v>1200</v>
      </c>
      <c r="H332" s="25">
        <v>1964.28</v>
      </c>
      <c r="I332" s="23">
        <f t="shared" si="5"/>
        <v>2357136</v>
      </c>
      <c r="J332" s="12" t="s">
        <v>43</v>
      </c>
      <c r="K332" s="12" t="s">
        <v>41</v>
      </c>
      <c r="L332" s="6"/>
      <c r="M332" s="6"/>
      <c r="N332" s="6"/>
      <c r="O332" s="6"/>
      <c r="P332" s="6"/>
      <c r="Q332" s="6"/>
      <c r="R332" s="6"/>
      <c r="S332" s="6"/>
      <c r="T332" s="6"/>
      <c r="U332"/>
      <c r="V332"/>
      <c r="W332"/>
      <c r="X332"/>
    </row>
    <row r="333" spans="1:24" ht="33.75" x14ac:dyDescent="0.2">
      <c r="A333" s="18">
        <v>326</v>
      </c>
      <c r="B333" s="21" t="s">
        <v>402</v>
      </c>
      <c r="C333" s="5" t="s">
        <v>909</v>
      </c>
      <c r="D333" s="13">
        <v>142</v>
      </c>
      <c r="E333" s="21" t="s">
        <v>402</v>
      </c>
      <c r="F333" s="9" t="s">
        <v>687</v>
      </c>
      <c r="G333" s="9">
        <v>1200</v>
      </c>
      <c r="H333" s="25">
        <f>4384/1.12</f>
        <v>3914.2857142857138</v>
      </c>
      <c r="I333" s="23">
        <f t="shared" si="5"/>
        <v>4697142.8571428563</v>
      </c>
      <c r="J333" s="12" t="s">
        <v>43</v>
      </c>
      <c r="K333" s="12" t="s">
        <v>41</v>
      </c>
      <c r="L333" s="6"/>
      <c r="M333" s="6"/>
      <c r="N333" s="6"/>
      <c r="O333" s="6"/>
      <c r="P333" s="6"/>
      <c r="Q333" s="6"/>
      <c r="R333" s="6"/>
      <c r="S333" s="6"/>
      <c r="T333" s="6"/>
      <c r="U333"/>
      <c r="V333"/>
      <c r="W333"/>
      <c r="X333"/>
    </row>
    <row r="334" spans="1:24" ht="33.75" x14ac:dyDescent="0.2">
      <c r="A334" s="18">
        <v>327</v>
      </c>
      <c r="B334" s="21" t="s">
        <v>403</v>
      </c>
      <c r="C334" s="5" t="s">
        <v>909</v>
      </c>
      <c r="D334" s="13">
        <v>142</v>
      </c>
      <c r="E334" s="21" t="s">
        <v>403</v>
      </c>
      <c r="F334" s="9" t="s">
        <v>687</v>
      </c>
      <c r="G334" s="9">
        <v>350</v>
      </c>
      <c r="H334" s="25">
        <f>3000/1.12</f>
        <v>2678.5714285714284</v>
      </c>
      <c r="I334" s="23">
        <f t="shared" si="5"/>
        <v>937500</v>
      </c>
      <c r="J334" s="12" t="s">
        <v>43</v>
      </c>
      <c r="K334" s="12" t="s">
        <v>41</v>
      </c>
      <c r="L334" s="6"/>
      <c r="M334" s="6"/>
      <c r="N334" s="6"/>
      <c r="O334" s="6"/>
      <c r="P334" s="6"/>
      <c r="Q334" s="6"/>
      <c r="R334" s="6"/>
      <c r="S334" s="6"/>
      <c r="T334" s="6"/>
      <c r="U334"/>
      <c r="V334"/>
      <c r="W334"/>
      <c r="X334"/>
    </row>
    <row r="335" spans="1:24" ht="33.75" x14ac:dyDescent="0.2">
      <c r="A335" s="18">
        <v>328</v>
      </c>
      <c r="B335" s="21" t="s">
        <v>404</v>
      </c>
      <c r="C335" s="5" t="s">
        <v>909</v>
      </c>
      <c r="D335" s="13">
        <v>142</v>
      </c>
      <c r="E335" s="21" t="s">
        <v>404</v>
      </c>
      <c r="F335" s="9" t="s">
        <v>687</v>
      </c>
      <c r="G335" s="9">
        <v>350</v>
      </c>
      <c r="H335" s="25">
        <v>3035.71</v>
      </c>
      <c r="I335" s="23">
        <f t="shared" ref="I335:I398" si="6">G335*H335</f>
        <v>1062498.5</v>
      </c>
      <c r="J335" s="12" t="s">
        <v>43</v>
      </c>
      <c r="K335" s="12" t="s">
        <v>41</v>
      </c>
      <c r="L335" s="6"/>
      <c r="M335" s="6"/>
      <c r="N335" s="6"/>
      <c r="O335" s="6"/>
      <c r="P335" s="6"/>
      <c r="Q335" s="6"/>
      <c r="R335" s="6"/>
      <c r="S335" s="6"/>
      <c r="T335" s="6"/>
      <c r="U335"/>
      <c r="V335"/>
      <c r="W335"/>
      <c r="X335"/>
    </row>
    <row r="336" spans="1:24" ht="33.75" x14ac:dyDescent="0.2">
      <c r="A336" s="18">
        <v>329</v>
      </c>
      <c r="B336" s="21" t="s">
        <v>405</v>
      </c>
      <c r="C336" s="5" t="s">
        <v>909</v>
      </c>
      <c r="D336" s="13">
        <v>142</v>
      </c>
      <c r="E336" s="21" t="s">
        <v>405</v>
      </c>
      <c r="F336" s="9" t="s">
        <v>689</v>
      </c>
      <c r="G336" s="9">
        <v>30</v>
      </c>
      <c r="H336" s="25">
        <v>7142.85</v>
      </c>
      <c r="I336" s="23">
        <f t="shared" si="6"/>
        <v>214285.5</v>
      </c>
      <c r="J336" s="12" t="s">
        <v>43</v>
      </c>
      <c r="K336" s="12" t="s">
        <v>41</v>
      </c>
      <c r="L336" s="6"/>
      <c r="M336" s="6"/>
      <c r="N336" s="6"/>
      <c r="O336" s="6"/>
      <c r="P336" s="6"/>
      <c r="Q336" s="6"/>
      <c r="R336" s="6"/>
      <c r="S336" s="6"/>
      <c r="T336" s="6"/>
      <c r="U336"/>
      <c r="V336"/>
      <c r="W336"/>
      <c r="X336"/>
    </row>
    <row r="337" spans="1:24" ht="33.75" x14ac:dyDescent="0.2">
      <c r="A337" s="18">
        <v>330</v>
      </c>
      <c r="B337" s="21" t="s">
        <v>406</v>
      </c>
      <c r="C337" s="5" t="s">
        <v>909</v>
      </c>
      <c r="D337" s="13">
        <v>142</v>
      </c>
      <c r="E337" s="21" t="s">
        <v>406</v>
      </c>
      <c r="F337" s="9" t="s">
        <v>687</v>
      </c>
      <c r="G337" s="9">
        <v>520</v>
      </c>
      <c r="H337" s="25">
        <v>3125</v>
      </c>
      <c r="I337" s="23">
        <f t="shared" si="6"/>
        <v>1625000</v>
      </c>
      <c r="J337" s="12" t="s">
        <v>43</v>
      </c>
      <c r="K337" s="12" t="s">
        <v>41</v>
      </c>
      <c r="L337" s="6"/>
      <c r="M337" s="6"/>
      <c r="N337" s="6"/>
      <c r="O337" s="6"/>
      <c r="P337" s="6"/>
      <c r="Q337" s="6"/>
      <c r="R337" s="6"/>
      <c r="S337" s="6"/>
      <c r="T337" s="6"/>
      <c r="U337"/>
      <c r="V337"/>
      <c r="W337"/>
      <c r="X337"/>
    </row>
    <row r="338" spans="1:24" ht="33.75" x14ac:dyDescent="0.2">
      <c r="A338" s="18">
        <v>331</v>
      </c>
      <c r="B338" s="21" t="s">
        <v>407</v>
      </c>
      <c r="C338" s="5" t="s">
        <v>909</v>
      </c>
      <c r="D338" s="13">
        <v>142</v>
      </c>
      <c r="E338" s="21" t="s">
        <v>407</v>
      </c>
      <c r="F338" s="9" t="s">
        <v>689</v>
      </c>
      <c r="G338" s="9">
        <v>12</v>
      </c>
      <c r="H338" s="25">
        <v>14285.71</v>
      </c>
      <c r="I338" s="23">
        <f t="shared" si="6"/>
        <v>171428.52</v>
      </c>
      <c r="J338" s="12" t="s">
        <v>43</v>
      </c>
      <c r="K338" s="12" t="s">
        <v>41</v>
      </c>
      <c r="L338" s="6"/>
      <c r="M338" s="6"/>
      <c r="N338" s="6"/>
      <c r="O338" s="6"/>
      <c r="P338" s="6"/>
      <c r="Q338" s="6"/>
      <c r="R338" s="6"/>
      <c r="S338" s="6"/>
      <c r="T338" s="6"/>
      <c r="U338"/>
      <c r="V338"/>
      <c r="W338"/>
      <c r="X338"/>
    </row>
    <row r="339" spans="1:24" ht="33.75" x14ac:dyDescent="0.2">
      <c r="A339" s="18">
        <v>332</v>
      </c>
      <c r="B339" s="21" t="s">
        <v>408</v>
      </c>
      <c r="C339" s="5" t="s">
        <v>909</v>
      </c>
      <c r="D339" s="13">
        <v>142</v>
      </c>
      <c r="E339" s="21" t="s">
        <v>408</v>
      </c>
      <c r="F339" s="9" t="s">
        <v>689</v>
      </c>
      <c r="G339" s="9">
        <v>20</v>
      </c>
      <c r="H339" s="25">
        <v>7946.42</v>
      </c>
      <c r="I339" s="23">
        <f t="shared" si="6"/>
        <v>158928.4</v>
      </c>
      <c r="J339" s="12" t="s">
        <v>43</v>
      </c>
      <c r="K339" s="12" t="s">
        <v>41</v>
      </c>
      <c r="L339" s="6"/>
      <c r="M339" s="6"/>
      <c r="N339" s="6"/>
      <c r="O339" s="6"/>
      <c r="P339" s="6"/>
      <c r="Q339" s="6"/>
      <c r="R339" s="6"/>
      <c r="S339" s="6"/>
      <c r="T339" s="6"/>
      <c r="U339"/>
      <c r="V339"/>
      <c r="W339"/>
      <c r="X339"/>
    </row>
    <row r="340" spans="1:24" ht="33.75" x14ac:dyDescent="0.2">
      <c r="A340" s="18">
        <v>333</v>
      </c>
      <c r="B340" s="21" t="s">
        <v>409</v>
      </c>
      <c r="C340" s="5" t="s">
        <v>909</v>
      </c>
      <c r="D340" s="13">
        <v>142</v>
      </c>
      <c r="E340" s="21" t="s">
        <v>409</v>
      </c>
      <c r="F340" s="9" t="s">
        <v>689</v>
      </c>
      <c r="G340" s="9">
        <v>50</v>
      </c>
      <c r="H340" s="25">
        <v>36160.71</v>
      </c>
      <c r="I340" s="23">
        <f t="shared" si="6"/>
        <v>1808035.5</v>
      </c>
      <c r="J340" s="12" t="s">
        <v>43</v>
      </c>
      <c r="K340" s="12" t="s">
        <v>41</v>
      </c>
      <c r="L340" s="6"/>
      <c r="M340" s="6"/>
      <c r="N340" s="6"/>
      <c r="O340" s="6"/>
      <c r="P340" s="6"/>
      <c r="Q340" s="6"/>
      <c r="R340" s="6"/>
      <c r="S340" s="6"/>
      <c r="T340" s="6"/>
      <c r="U340"/>
      <c r="V340"/>
      <c r="W340"/>
      <c r="X340"/>
    </row>
    <row r="341" spans="1:24" ht="33.75" x14ac:dyDescent="0.2">
      <c r="A341" s="18">
        <v>334</v>
      </c>
      <c r="B341" s="21" t="s">
        <v>410</v>
      </c>
      <c r="C341" s="5" t="s">
        <v>909</v>
      </c>
      <c r="D341" s="13">
        <v>142</v>
      </c>
      <c r="E341" s="21" t="s">
        <v>410</v>
      </c>
      <c r="F341" s="9" t="s">
        <v>690</v>
      </c>
      <c r="G341" s="9">
        <v>50</v>
      </c>
      <c r="H341" s="24">
        <f>3840/1.12</f>
        <v>3428.5714285714284</v>
      </c>
      <c r="I341" s="23">
        <f t="shared" si="6"/>
        <v>171428.57142857142</v>
      </c>
      <c r="J341" s="12" t="s">
        <v>43</v>
      </c>
      <c r="K341" s="12" t="s">
        <v>41</v>
      </c>
      <c r="L341" s="6"/>
      <c r="M341" s="6"/>
      <c r="N341" s="6"/>
      <c r="O341" s="6"/>
      <c r="P341" s="6"/>
      <c r="Q341" s="6"/>
      <c r="R341" s="6"/>
      <c r="S341" s="6"/>
      <c r="T341" s="6"/>
      <c r="U341"/>
      <c r="V341"/>
      <c r="W341"/>
      <c r="X341"/>
    </row>
    <row r="342" spans="1:24" ht="33.75" x14ac:dyDescent="0.2">
      <c r="A342" s="18">
        <v>335</v>
      </c>
      <c r="B342" s="21" t="s">
        <v>411</v>
      </c>
      <c r="C342" s="5" t="s">
        <v>909</v>
      </c>
      <c r="D342" s="13">
        <v>142</v>
      </c>
      <c r="E342" s="21" t="s">
        <v>411</v>
      </c>
      <c r="F342" s="9" t="s">
        <v>690</v>
      </c>
      <c r="G342" s="9">
        <v>5</v>
      </c>
      <c r="H342" s="24">
        <v>7589.28</v>
      </c>
      <c r="I342" s="23">
        <f t="shared" si="6"/>
        <v>37946.400000000001</v>
      </c>
      <c r="J342" s="12" t="s">
        <v>43</v>
      </c>
      <c r="K342" s="12" t="s">
        <v>41</v>
      </c>
      <c r="L342" s="6"/>
      <c r="M342" s="6"/>
      <c r="N342" s="6"/>
      <c r="O342" s="6"/>
      <c r="P342" s="6"/>
      <c r="Q342" s="6"/>
      <c r="R342" s="6"/>
      <c r="S342" s="6"/>
      <c r="T342" s="6"/>
      <c r="U342"/>
      <c r="V342"/>
      <c r="W342"/>
      <c r="X342"/>
    </row>
    <row r="343" spans="1:24" ht="33.75" x14ac:dyDescent="0.2">
      <c r="A343" s="18">
        <v>336</v>
      </c>
      <c r="B343" s="21" t="s">
        <v>412</v>
      </c>
      <c r="C343" s="5" t="s">
        <v>909</v>
      </c>
      <c r="D343" s="13">
        <v>142</v>
      </c>
      <c r="E343" s="21" t="s">
        <v>412</v>
      </c>
      <c r="F343" s="9" t="s">
        <v>44</v>
      </c>
      <c r="G343" s="9">
        <v>4</v>
      </c>
      <c r="H343" s="24">
        <v>17142.849999999999</v>
      </c>
      <c r="I343" s="23">
        <f t="shared" si="6"/>
        <v>68571.399999999994</v>
      </c>
      <c r="J343" s="12" t="s">
        <v>43</v>
      </c>
      <c r="K343" s="12" t="s">
        <v>41</v>
      </c>
      <c r="L343" s="6"/>
      <c r="M343" s="6"/>
      <c r="N343" s="6"/>
      <c r="O343" s="6"/>
      <c r="P343" s="6"/>
      <c r="Q343" s="6"/>
      <c r="R343" s="6"/>
      <c r="S343" s="6"/>
      <c r="T343" s="6"/>
      <c r="U343"/>
      <c r="V343"/>
      <c r="W343"/>
      <c r="X343"/>
    </row>
    <row r="344" spans="1:24" ht="33.75" x14ac:dyDescent="0.2">
      <c r="A344" s="18">
        <v>337</v>
      </c>
      <c r="B344" s="21" t="s">
        <v>413</v>
      </c>
      <c r="C344" s="5" t="s">
        <v>909</v>
      </c>
      <c r="D344" s="13">
        <v>142</v>
      </c>
      <c r="E344" s="22" t="s">
        <v>413</v>
      </c>
      <c r="F344" s="9" t="s">
        <v>687</v>
      </c>
      <c r="G344" s="9">
        <v>12</v>
      </c>
      <c r="H344" s="24">
        <f>9600/1.12</f>
        <v>8571.4285714285706</v>
      </c>
      <c r="I344" s="23">
        <f t="shared" si="6"/>
        <v>102857.14285714284</v>
      </c>
      <c r="J344" s="12" t="s">
        <v>43</v>
      </c>
      <c r="K344" s="12" t="s">
        <v>41</v>
      </c>
      <c r="L344" s="6"/>
      <c r="M344" s="6"/>
      <c r="N344" s="6"/>
      <c r="O344" s="6"/>
      <c r="P344" s="6"/>
      <c r="Q344" s="6"/>
      <c r="R344" s="6"/>
      <c r="S344" s="6"/>
      <c r="T344" s="6"/>
      <c r="U344"/>
      <c r="V344"/>
      <c r="W344"/>
      <c r="X344"/>
    </row>
    <row r="345" spans="1:24" ht="33.75" x14ac:dyDescent="0.2">
      <c r="A345" s="18">
        <v>338</v>
      </c>
      <c r="B345" s="21" t="s">
        <v>414</v>
      </c>
      <c r="C345" s="5" t="s">
        <v>909</v>
      </c>
      <c r="D345" s="13">
        <v>142</v>
      </c>
      <c r="E345" s="21" t="s">
        <v>414</v>
      </c>
      <c r="F345" s="9" t="s">
        <v>687</v>
      </c>
      <c r="G345" s="9">
        <v>10</v>
      </c>
      <c r="H345" s="24">
        <f>4500/1.12</f>
        <v>4017.8571428571427</v>
      </c>
      <c r="I345" s="23">
        <f t="shared" si="6"/>
        <v>40178.571428571428</v>
      </c>
      <c r="J345" s="12" t="s">
        <v>43</v>
      </c>
      <c r="K345" s="12" t="s">
        <v>41</v>
      </c>
      <c r="L345" s="6"/>
      <c r="M345" s="6"/>
      <c r="N345" s="6"/>
      <c r="O345" s="6"/>
      <c r="P345" s="6"/>
      <c r="Q345" s="6"/>
      <c r="R345" s="6"/>
      <c r="S345" s="6"/>
      <c r="T345" s="6"/>
      <c r="U345"/>
      <c r="V345"/>
      <c r="W345"/>
      <c r="X345"/>
    </row>
    <row r="346" spans="1:24" ht="33.75" x14ac:dyDescent="0.2">
      <c r="A346" s="18">
        <v>339</v>
      </c>
      <c r="B346" s="21" t="s">
        <v>415</v>
      </c>
      <c r="C346" s="5" t="s">
        <v>909</v>
      </c>
      <c r="D346" s="13">
        <v>142</v>
      </c>
      <c r="E346" s="21" t="s">
        <v>415</v>
      </c>
      <c r="F346" s="9" t="s">
        <v>691</v>
      </c>
      <c r="G346" s="9">
        <v>10</v>
      </c>
      <c r="H346" s="24">
        <f>4494/1.12</f>
        <v>4012.4999999999995</v>
      </c>
      <c r="I346" s="23">
        <f t="shared" si="6"/>
        <v>40124.999999999993</v>
      </c>
      <c r="J346" s="12" t="s">
        <v>43</v>
      </c>
      <c r="K346" s="12" t="s">
        <v>41</v>
      </c>
      <c r="L346" s="6"/>
      <c r="M346" s="6"/>
      <c r="N346" s="6"/>
      <c r="O346" s="6"/>
      <c r="P346" s="6"/>
      <c r="Q346" s="6"/>
      <c r="R346" s="6"/>
      <c r="S346" s="6"/>
      <c r="T346" s="6"/>
      <c r="U346"/>
      <c r="V346"/>
      <c r="W346"/>
      <c r="X346"/>
    </row>
    <row r="347" spans="1:24" ht="33.75" x14ac:dyDescent="0.2">
      <c r="A347" s="18">
        <v>340</v>
      </c>
      <c r="B347" s="21" t="s">
        <v>416</v>
      </c>
      <c r="C347" s="5" t="s">
        <v>909</v>
      </c>
      <c r="D347" s="13">
        <v>142</v>
      </c>
      <c r="E347" s="21" t="s">
        <v>416</v>
      </c>
      <c r="F347" s="9" t="s">
        <v>691</v>
      </c>
      <c r="G347" s="9">
        <v>10</v>
      </c>
      <c r="H347" s="24">
        <f>3000/1.12</f>
        <v>2678.5714285714284</v>
      </c>
      <c r="I347" s="23">
        <f t="shared" si="6"/>
        <v>26785.714285714283</v>
      </c>
      <c r="J347" s="12" t="s">
        <v>43</v>
      </c>
      <c r="K347" s="12" t="s">
        <v>41</v>
      </c>
      <c r="L347" s="6"/>
      <c r="M347" s="6"/>
      <c r="N347" s="6"/>
      <c r="O347" s="6"/>
      <c r="P347" s="6"/>
      <c r="Q347" s="6"/>
      <c r="R347" s="6"/>
      <c r="S347" s="6"/>
      <c r="T347" s="6"/>
      <c r="U347"/>
      <c r="V347"/>
      <c r="W347"/>
      <c r="X347"/>
    </row>
    <row r="348" spans="1:24" ht="33.75" x14ac:dyDescent="0.2">
      <c r="A348" s="18">
        <v>341</v>
      </c>
      <c r="B348" s="35" t="s">
        <v>417</v>
      </c>
      <c r="C348" s="5" t="s">
        <v>909</v>
      </c>
      <c r="D348" s="13">
        <v>142</v>
      </c>
      <c r="E348" s="35" t="s">
        <v>417</v>
      </c>
      <c r="F348" s="18" t="s">
        <v>687</v>
      </c>
      <c r="G348" s="18">
        <v>15</v>
      </c>
      <c r="H348" s="24">
        <f>3000/1.12</f>
        <v>2678.5714285714284</v>
      </c>
      <c r="I348" s="23">
        <f t="shared" si="6"/>
        <v>40178.571428571428</v>
      </c>
      <c r="J348" s="12" t="s">
        <v>43</v>
      </c>
      <c r="K348" s="12" t="s">
        <v>41</v>
      </c>
      <c r="L348" s="6"/>
      <c r="M348" s="6"/>
      <c r="N348" s="6"/>
      <c r="O348" s="6"/>
      <c r="P348" s="6"/>
      <c r="Q348" s="6"/>
      <c r="R348" s="6"/>
      <c r="S348" s="6"/>
      <c r="T348" s="6"/>
      <c r="U348"/>
      <c r="V348"/>
      <c r="W348"/>
      <c r="X348"/>
    </row>
    <row r="349" spans="1:24" ht="33.75" x14ac:dyDescent="0.2">
      <c r="A349" s="18">
        <v>342</v>
      </c>
      <c r="B349" s="21" t="s">
        <v>418</v>
      </c>
      <c r="C349" s="5" t="s">
        <v>909</v>
      </c>
      <c r="D349" s="13">
        <v>142</v>
      </c>
      <c r="E349" s="21" t="s">
        <v>418</v>
      </c>
      <c r="F349" s="9" t="s">
        <v>692</v>
      </c>
      <c r="G349" s="18">
        <v>15</v>
      </c>
      <c r="H349" s="24">
        <v>25000</v>
      </c>
      <c r="I349" s="23">
        <f t="shared" si="6"/>
        <v>375000</v>
      </c>
      <c r="J349" s="12" t="s">
        <v>43</v>
      </c>
      <c r="K349" s="12" t="s">
        <v>41</v>
      </c>
      <c r="L349" s="6"/>
      <c r="M349" s="6"/>
      <c r="N349" s="6"/>
      <c r="O349" s="6"/>
      <c r="P349" s="6"/>
      <c r="Q349" s="6"/>
      <c r="R349" s="6"/>
      <c r="S349" s="6"/>
      <c r="T349" s="6"/>
      <c r="U349"/>
      <c r="V349"/>
      <c r="W349"/>
      <c r="X349"/>
    </row>
    <row r="350" spans="1:24" ht="33.75" x14ac:dyDescent="0.2">
      <c r="A350" s="18">
        <v>343</v>
      </c>
      <c r="B350" s="7" t="s">
        <v>419</v>
      </c>
      <c r="C350" s="5" t="s">
        <v>909</v>
      </c>
      <c r="D350" s="13">
        <v>142</v>
      </c>
      <c r="E350" s="19" t="s">
        <v>853</v>
      </c>
      <c r="F350" s="18" t="s">
        <v>693</v>
      </c>
      <c r="G350" s="18">
        <v>1500</v>
      </c>
      <c r="H350" s="24">
        <f>850/1.12</f>
        <v>758.92857142857133</v>
      </c>
      <c r="I350" s="23">
        <f t="shared" si="6"/>
        <v>1138392.857142857</v>
      </c>
      <c r="J350" s="12" t="s">
        <v>43</v>
      </c>
      <c r="K350" s="12" t="s">
        <v>41</v>
      </c>
      <c r="L350" s="6"/>
      <c r="M350" s="6"/>
      <c r="N350" s="6"/>
      <c r="O350" s="6"/>
      <c r="P350" s="6"/>
      <c r="Q350" s="6"/>
      <c r="R350" s="6"/>
      <c r="S350" s="6"/>
      <c r="T350" s="6"/>
      <c r="U350"/>
      <c r="V350"/>
      <c r="W350"/>
      <c r="X350"/>
    </row>
    <row r="351" spans="1:24" ht="33.75" x14ac:dyDescent="0.2">
      <c r="A351" s="18">
        <v>344</v>
      </c>
      <c r="B351" s="16" t="s">
        <v>130</v>
      </c>
      <c r="C351" s="5" t="s">
        <v>909</v>
      </c>
      <c r="D351" s="13">
        <v>142</v>
      </c>
      <c r="E351" s="14" t="s">
        <v>130</v>
      </c>
      <c r="F351" s="9" t="s">
        <v>42</v>
      </c>
      <c r="G351" s="36">
        <v>12000</v>
      </c>
      <c r="H351" s="25">
        <f>88.39/1.12</f>
        <v>78.919642857142847</v>
      </c>
      <c r="I351" s="23">
        <f t="shared" si="6"/>
        <v>947035.7142857142</v>
      </c>
      <c r="J351" s="12" t="s">
        <v>43</v>
      </c>
      <c r="K351" s="12" t="s">
        <v>41</v>
      </c>
      <c r="L351" s="6"/>
      <c r="M351" s="6"/>
      <c r="N351" s="6"/>
      <c r="O351" s="6"/>
      <c r="P351" s="6"/>
      <c r="Q351" s="6"/>
      <c r="R351" s="6"/>
      <c r="S351" s="6"/>
      <c r="T351" s="6"/>
      <c r="U351"/>
      <c r="V351"/>
      <c r="W351"/>
      <c r="X351"/>
    </row>
    <row r="352" spans="1:24" ht="33.75" x14ac:dyDescent="0.2">
      <c r="A352" s="18">
        <v>345</v>
      </c>
      <c r="B352" s="16" t="s">
        <v>131</v>
      </c>
      <c r="C352" s="5" t="s">
        <v>909</v>
      </c>
      <c r="D352" s="13">
        <v>142</v>
      </c>
      <c r="E352" s="14" t="s">
        <v>854</v>
      </c>
      <c r="F352" s="18" t="s">
        <v>20</v>
      </c>
      <c r="G352" s="5">
        <v>4</v>
      </c>
      <c r="H352" s="25">
        <f>7338.39/1.12</f>
        <v>6552.1339285714284</v>
      </c>
      <c r="I352" s="23">
        <f t="shared" si="6"/>
        <v>26208.535714285714</v>
      </c>
      <c r="J352" s="12" t="s">
        <v>43</v>
      </c>
      <c r="K352" s="12" t="s">
        <v>41</v>
      </c>
      <c r="L352" s="6"/>
      <c r="M352" s="6"/>
      <c r="N352" s="6"/>
      <c r="O352" s="6"/>
      <c r="P352" s="6"/>
      <c r="Q352" s="6"/>
      <c r="R352" s="6"/>
      <c r="S352" s="6"/>
      <c r="T352" s="6"/>
      <c r="U352"/>
      <c r="V352"/>
      <c r="W352"/>
      <c r="X352"/>
    </row>
    <row r="353" spans="1:24" ht="33.75" x14ac:dyDescent="0.2">
      <c r="A353" s="18">
        <v>346</v>
      </c>
      <c r="B353" s="16" t="s">
        <v>420</v>
      </c>
      <c r="C353" s="5" t="s">
        <v>909</v>
      </c>
      <c r="D353" s="13">
        <v>142</v>
      </c>
      <c r="E353" s="14" t="s">
        <v>420</v>
      </c>
      <c r="F353" s="18" t="s">
        <v>20</v>
      </c>
      <c r="G353" s="5">
        <v>0.5</v>
      </c>
      <c r="H353" s="25">
        <f>9171.43/1.12</f>
        <v>8188.7767857142853</v>
      </c>
      <c r="I353" s="23">
        <f t="shared" si="6"/>
        <v>4094.3883928571427</v>
      </c>
      <c r="J353" s="12" t="s">
        <v>43</v>
      </c>
      <c r="K353" s="12" t="s">
        <v>41</v>
      </c>
      <c r="L353" s="6"/>
      <c r="M353" s="6"/>
      <c r="N353" s="6"/>
      <c r="O353" s="6"/>
      <c r="P353" s="6"/>
      <c r="Q353" s="6"/>
      <c r="R353" s="6"/>
      <c r="S353" s="6"/>
      <c r="T353" s="6"/>
      <c r="U353"/>
      <c r="V353"/>
      <c r="W353"/>
      <c r="X353"/>
    </row>
    <row r="354" spans="1:24" ht="33.75" x14ac:dyDescent="0.2">
      <c r="A354" s="18">
        <v>347</v>
      </c>
      <c r="B354" s="16" t="s">
        <v>133</v>
      </c>
      <c r="C354" s="5" t="s">
        <v>909</v>
      </c>
      <c r="D354" s="13">
        <v>142</v>
      </c>
      <c r="E354" s="14" t="s">
        <v>133</v>
      </c>
      <c r="F354" s="18" t="s">
        <v>48</v>
      </c>
      <c r="G354" s="5">
        <v>5</v>
      </c>
      <c r="H354" s="25">
        <f>6696.43/1.12</f>
        <v>5978.9553571428569</v>
      </c>
      <c r="I354" s="23">
        <f t="shared" si="6"/>
        <v>29894.776785714283</v>
      </c>
      <c r="J354" s="12" t="s">
        <v>43</v>
      </c>
      <c r="K354" s="12" t="s">
        <v>41</v>
      </c>
      <c r="L354" s="6"/>
      <c r="M354" s="6"/>
      <c r="N354" s="6"/>
      <c r="O354" s="6"/>
      <c r="P354" s="6"/>
      <c r="Q354" s="6"/>
      <c r="R354" s="6"/>
      <c r="S354" s="6"/>
      <c r="T354" s="6"/>
      <c r="U354"/>
      <c r="V354"/>
      <c r="W354"/>
      <c r="X354"/>
    </row>
    <row r="355" spans="1:24" ht="33.75" x14ac:dyDescent="0.2">
      <c r="A355" s="18">
        <v>348</v>
      </c>
      <c r="B355" s="16" t="s">
        <v>421</v>
      </c>
      <c r="C355" s="5" t="s">
        <v>909</v>
      </c>
      <c r="D355" s="13">
        <v>142</v>
      </c>
      <c r="E355" s="14" t="s">
        <v>421</v>
      </c>
      <c r="F355" s="18" t="s">
        <v>48</v>
      </c>
      <c r="G355" s="5">
        <v>12</v>
      </c>
      <c r="H355" s="25">
        <f>11687.5/1.12</f>
        <v>10435.267857142857</v>
      </c>
      <c r="I355" s="23">
        <f t="shared" si="6"/>
        <v>125223.21428571429</v>
      </c>
      <c r="J355" s="12" t="s">
        <v>43</v>
      </c>
      <c r="K355" s="12" t="s">
        <v>41</v>
      </c>
      <c r="L355" s="6"/>
      <c r="M355" s="6"/>
      <c r="N355" s="6"/>
      <c r="O355" s="6"/>
      <c r="P355" s="6"/>
      <c r="Q355" s="6"/>
      <c r="R355" s="6"/>
      <c r="S355" s="6"/>
      <c r="T355" s="6"/>
      <c r="U355"/>
      <c r="V355"/>
      <c r="W355"/>
      <c r="X355"/>
    </row>
    <row r="356" spans="1:24" ht="33.75" x14ac:dyDescent="0.2">
      <c r="A356" s="18">
        <v>349</v>
      </c>
      <c r="B356" s="8" t="s">
        <v>134</v>
      </c>
      <c r="C356" s="5" t="s">
        <v>909</v>
      </c>
      <c r="D356" s="13">
        <v>142</v>
      </c>
      <c r="E356" s="7" t="s">
        <v>134</v>
      </c>
      <c r="F356" s="18" t="s">
        <v>26</v>
      </c>
      <c r="G356" s="5">
        <v>24</v>
      </c>
      <c r="H356" s="24">
        <v>6808.03</v>
      </c>
      <c r="I356" s="23">
        <f t="shared" si="6"/>
        <v>163392.72</v>
      </c>
      <c r="J356" s="12" t="s">
        <v>43</v>
      </c>
      <c r="K356" s="12" t="s">
        <v>41</v>
      </c>
      <c r="L356" s="6"/>
      <c r="M356" s="6"/>
      <c r="N356" s="6"/>
      <c r="O356" s="6"/>
      <c r="P356" s="6"/>
      <c r="Q356" s="6"/>
      <c r="R356" s="6"/>
      <c r="S356" s="6"/>
      <c r="T356" s="6"/>
      <c r="U356"/>
      <c r="V356"/>
      <c r="W356"/>
      <c r="X356"/>
    </row>
    <row r="357" spans="1:24" ht="33.75" x14ac:dyDescent="0.2">
      <c r="A357" s="18">
        <v>350</v>
      </c>
      <c r="B357" s="8" t="s">
        <v>135</v>
      </c>
      <c r="C357" s="5" t="s">
        <v>909</v>
      </c>
      <c r="D357" s="13">
        <v>142</v>
      </c>
      <c r="E357" s="7" t="s">
        <v>135</v>
      </c>
      <c r="F357" s="18" t="s">
        <v>26</v>
      </c>
      <c r="G357" s="5">
        <v>25</v>
      </c>
      <c r="H357" s="24">
        <v>19077.669999999998</v>
      </c>
      <c r="I357" s="23">
        <f t="shared" si="6"/>
        <v>476941.74999999994</v>
      </c>
      <c r="J357" s="12" t="s">
        <v>43</v>
      </c>
      <c r="K357" s="12" t="s">
        <v>41</v>
      </c>
      <c r="L357" s="6"/>
      <c r="M357" s="6"/>
      <c r="N357" s="6"/>
      <c r="O357" s="6"/>
      <c r="P357" s="6"/>
      <c r="Q357" s="6"/>
      <c r="R357" s="6"/>
      <c r="S357" s="6"/>
      <c r="T357" s="6"/>
      <c r="U357"/>
      <c r="V357"/>
      <c r="W357"/>
      <c r="X357"/>
    </row>
    <row r="358" spans="1:24" ht="33.75" x14ac:dyDescent="0.2">
      <c r="A358" s="18">
        <v>351</v>
      </c>
      <c r="B358" s="8" t="s">
        <v>136</v>
      </c>
      <c r="C358" s="5" t="s">
        <v>909</v>
      </c>
      <c r="D358" s="13">
        <v>142</v>
      </c>
      <c r="E358" s="7" t="s">
        <v>136</v>
      </c>
      <c r="F358" s="18" t="s">
        <v>26</v>
      </c>
      <c r="G358" s="5">
        <v>25</v>
      </c>
      <c r="H358" s="24">
        <v>18194.64</v>
      </c>
      <c r="I358" s="23">
        <f t="shared" si="6"/>
        <v>454866</v>
      </c>
      <c r="J358" s="12" t="s">
        <v>43</v>
      </c>
      <c r="K358" s="12" t="s">
        <v>41</v>
      </c>
      <c r="L358" s="6"/>
      <c r="M358" s="6"/>
      <c r="N358" s="6"/>
      <c r="O358" s="6"/>
      <c r="P358" s="6"/>
      <c r="Q358" s="6"/>
      <c r="R358" s="6"/>
      <c r="S358" s="6"/>
      <c r="T358" s="6"/>
      <c r="U358"/>
      <c r="V358"/>
      <c r="W358"/>
      <c r="X358"/>
    </row>
    <row r="359" spans="1:24" ht="33.75" x14ac:dyDescent="0.2">
      <c r="A359" s="18">
        <v>352</v>
      </c>
      <c r="B359" s="8" t="s">
        <v>137</v>
      </c>
      <c r="C359" s="5" t="s">
        <v>909</v>
      </c>
      <c r="D359" s="13">
        <v>142</v>
      </c>
      <c r="E359" s="7" t="s">
        <v>137</v>
      </c>
      <c r="F359" s="18" t="s">
        <v>26</v>
      </c>
      <c r="G359" s="5">
        <v>24</v>
      </c>
      <c r="H359" s="24">
        <v>15619.64</v>
      </c>
      <c r="I359" s="23">
        <f t="shared" si="6"/>
        <v>374871.36</v>
      </c>
      <c r="J359" s="12" t="s">
        <v>43</v>
      </c>
      <c r="K359" s="12" t="s">
        <v>41</v>
      </c>
      <c r="L359" s="6"/>
      <c r="M359" s="6"/>
      <c r="N359" s="6"/>
      <c r="O359" s="6"/>
      <c r="P359" s="6"/>
      <c r="Q359" s="6"/>
      <c r="R359" s="6"/>
      <c r="S359" s="6"/>
      <c r="T359" s="6"/>
      <c r="U359"/>
      <c r="V359"/>
      <c r="W359"/>
      <c r="X359"/>
    </row>
    <row r="360" spans="1:24" ht="33.75" x14ac:dyDescent="0.2">
      <c r="A360" s="18">
        <v>353</v>
      </c>
      <c r="B360" s="8" t="s">
        <v>138</v>
      </c>
      <c r="C360" s="5" t="s">
        <v>909</v>
      </c>
      <c r="D360" s="13">
        <v>142</v>
      </c>
      <c r="E360" s="7" t="s">
        <v>138</v>
      </c>
      <c r="F360" s="18" t="s">
        <v>26</v>
      </c>
      <c r="G360" s="5">
        <v>24</v>
      </c>
      <c r="H360" s="24">
        <v>12254.46</v>
      </c>
      <c r="I360" s="23">
        <f t="shared" si="6"/>
        <v>294107.03999999998</v>
      </c>
      <c r="J360" s="12" t="s">
        <v>43</v>
      </c>
      <c r="K360" s="12" t="s">
        <v>41</v>
      </c>
      <c r="L360" s="6"/>
      <c r="M360" s="6"/>
      <c r="N360" s="6"/>
      <c r="O360" s="6"/>
      <c r="P360" s="6"/>
      <c r="Q360" s="6"/>
      <c r="R360" s="6"/>
      <c r="S360" s="6"/>
      <c r="T360" s="6"/>
      <c r="U360"/>
      <c r="V360"/>
      <c r="W360"/>
      <c r="X360"/>
    </row>
    <row r="361" spans="1:24" ht="33.75" x14ac:dyDescent="0.2">
      <c r="A361" s="18">
        <v>354</v>
      </c>
      <c r="B361" s="8" t="s">
        <v>139</v>
      </c>
      <c r="C361" s="5" t="s">
        <v>909</v>
      </c>
      <c r="D361" s="13">
        <v>142</v>
      </c>
      <c r="E361" s="7" t="s">
        <v>139</v>
      </c>
      <c r="F361" s="18" t="s">
        <v>26</v>
      </c>
      <c r="G361" s="5">
        <v>20</v>
      </c>
      <c r="H361" s="24">
        <v>12286.6</v>
      </c>
      <c r="I361" s="23">
        <f t="shared" si="6"/>
        <v>245732</v>
      </c>
      <c r="J361" s="12" t="s">
        <v>43</v>
      </c>
      <c r="K361" s="12" t="s">
        <v>41</v>
      </c>
      <c r="L361" s="6"/>
      <c r="M361" s="6"/>
      <c r="N361" s="6"/>
      <c r="O361" s="6"/>
      <c r="P361" s="6"/>
      <c r="Q361" s="6"/>
      <c r="R361" s="6"/>
      <c r="S361" s="6"/>
      <c r="T361" s="6"/>
      <c r="U361"/>
      <c r="V361"/>
      <c r="W361"/>
      <c r="X361"/>
    </row>
    <row r="362" spans="1:24" ht="33.75" x14ac:dyDescent="0.2">
      <c r="A362" s="18">
        <v>355</v>
      </c>
      <c r="B362" s="8" t="s">
        <v>140</v>
      </c>
      <c r="C362" s="5" t="s">
        <v>909</v>
      </c>
      <c r="D362" s="13">
        <v>142</v>
      </c>
      <c r="E362" s="7" t="s">
        <v>140</v>
      </c>
      <c r="F362" s="18" t="s">
        <v>26</v>
      </c>
      <c r="G362" s="5">
        <v>16</v>
      </c>
      <c r="H362" s="24">
        <v>19683.919999999998</v>
      </c>
      <c r="I362" s="23">
        <f t="shared" si="6"/>
        <v>314942.71999999997</v>
      </c>
      <c r="J362" s="12" t="s">
        <v>43</v>
      </c>
      <c r="K362" s="12" t="s">
        <v>41</v>
      </c>
      <c r="L362" s="6"/>
      <c r="M362" s="6"/>
      <c r="N362" s="6"/>
      <c r="O362" s="6"/>
      <c r="P362" s="6"/>
      <c r="Q362" s="6"/>
      <c r="R362" s="6"/>
      <c r="S362" s="6"/>
      <c r="T362" s="6"/>
      <c r="U362"/>
      <c r="V362"/>
      <c r="W362"/>
      <c r="X362"/>
    </row>
    <row r="363" spans="1:24" ht="33.75" x14ac:dyDescent="0.2">
      <c r="A363" s="18">
        <v>356</v>
      </c>
      <c r="B363" s="8" t="s">
        <v>141</v>
      </c>
      <c r="C363" s="5" t="s">
        <v>909</v>
      </c>
      <c r="D363" s="13">
        <v>142</v>
      </c>
      <c r="E363" s="7" t="s">
        <v>141</v>
      </c>
      <c r="F363" s="18" t="s">
        <v>26</v>
      </c>
      <c r="G363" s="5">
        <v>24</v>
      </c>
      <c r="H363" s="24">
        <v>8725</v>
      </c>
      <c r="I363" s="23">
        <f t="shared" si="6"/>
        <v>209400</v>
      </c>
      <c r="J363" s="12" t="s">
        <v>43</v>
      </c>
      <c r="K363" s="12" t="s">
        <v>41</v>
      </c>
      <c r="L363" s="6"/>
      <c r="M363" s="6"/>
      <c r="N363" s="6"/>
      <c r="O363" s="6"/>
      <c r="P363" s="6"/>
      <c r="Q363" s="6"/>
      <c r="R363" s="6"/>
      <c r="S363" s="6"/>
      <c r="T363" s="6"/>
      <c r="U363"/>
      <c r="V363"/>
      <c r="W363"/>
      <c r="X363"/>
    </row>
    <row r="364" spans="1:24" ht="33.75" x14ac:dyDescent="0.2">
      <c r="A364" s="18">
        <v>357</v>
      </c>
      <c r="B364" s="8" t="s">
        <v>142</v>
      </c>
      <c r="C364" s="5" t="s">
        <v>909</v>
      </c>
      <c r="D364" s="13">
        <v>142</v>
      </c>
      <c r="E364" s="7" t="s">
        <v>142</v>
      </c>
      <c r="F364" s="18" t="s">
        <v>26</v>
      </c>
      <c r="G364" s="5">
        <v>24</v>
      </c>
      <c r="H364" s="24">
        <v>30645.53</v>
      </c>
      <c r="I364" s="23">
        <f t="shared" si="6"/>
        <v>735492.72</v>
      </c>
      <c r="J364" s="12" t="s">
        <v>43</v>
      </c>
      <c r="K364" s="12" t="s">
        <v>41</v>
      </c>
      <c r="L364" s="6"/>
      <c r="M364" s="6"/>
      <c r="N364" s="6"/>
      <c r="O364" s="6"/>
      <c r="P364" s="6"/>
      <c r="Q364" s="6"/>
      <c r="R364" s="6"/>
      <c r="S364" s="6"/>
      <c r="T364" s="6"/>
      <c r="U364"/>
      <c r="V364"/>
      <c r="W364"/>
      <c r="X364"/>
    </row>
    <row r="365" spans="1:24" ht="33.75" x14ac:dyDescent="0.2">
      <c r="A365" s="18">
        <v>358</v>
      </c>
      <c r="B365" s="8" t="s">
        <v>143</v>
      </c>
      <c r="C365" s="5" t="s">
        <v>909</v>
      </c>
      <c r="D365" s="13">
        <v>142</v>
      </c>
      <c r="E365" s="7" t="s">
        <v>143</v>
      </c>
      <c r="F365" s="18" t="s">
        <v>26</v>
      </c>
      <c r="G365" s="5">
        <v>30</v>
      </c>
      <c r="H365" s="24">
        <v>9417.85</v>
      </c>
      <c r="I365" s="23">
        <f t="shared" si="6"/>
        <v>282535.5</v>
      </c>
      <c r="J365" s="12" t="s">
        <v>43</v>
      </c>
      <c r="K365" s="12" t="s">
        <v>41</v>
      </c>
      <c r="L365" s="6"/>
      <c r="M365" s="6"/>
      <c r="N365" s="6"/>
      <c r="O365" s="6"/>
      <c r="P365" s="6"/>
      <c r="Q365" s="6"/>
      <c r="R365" s="6"/>
      <c r="S365" s="6"/>
      <c r="T365" s="6"/>
      <c r="U365"/>
      <c r="V365"/>
      <c r="W365"/>
      <c r="X365"/>
    </row>
    <row r="366" spans="1:24" ht="33.75" x14ac:dyDescent="0.2">
      <c r="A366" s="18">
        <v>359</v>
      </c>
      <c r="B366" s="8" t="s">
        <v>144</v>
      </c>
      <c r="C366" s="5" t="s">
        <v>909</v>
      </c>
      <c r="D366" s="13">
        <v>142</v>
      </c>
      <c r="E366" s="7" t="s">
        <v>144</v>
      </c>
      <c r="F366" s="18" t="s">
        <v>26</v>
      </c>
      <c r="G366" s="5">
        <v>24</v>
      </c>
      <c r="H366" s="24">
        <v>84375</v>
      </c>
      <c r="I366" s="23">
        <f t="shared" si="6"/>
        <v>2025000</v>
      </c>
      <c r="J366" s="12" t="s">
        <v>43</v>
      </c>
      <c r="K366" s="12" t="s">
        <v>41</v>
      </c>
      <c r="L366" s="6"/>
      <c r="M366" s="6"/>
      <c r="N366" s="6"/>
      <c r="O366" s="6"/>
      <c r="P366" s="6"/>
      <c r="Q366" s="6"/>
      <c r="R366" s="6"/>
      <c r="S366" s="6"/>
      <c r="T366" s="6"/>
      <c r="U366"/>
      <c r="V366"/>
      <c r="W366"/>
      <c r="X366"/>
    </row>
    <row r="367" spans="1:24" ht="33.75" x14ac:dyDescent="0.2">
      <c r="A367" s="18">
        <v>360</v>
      </c>
      <c r="B367" s="8" t="s">
        <v>145</v>
      </c>
      <c r="C367" s="5" t="s">
        <v>909</v>
      </c>
      <c r="D367" s="13">
        <v>142</v>
      </c>
      <c r="E367" s="7" t="s">
        <v>145</v>
      </c>
      <c r="F367" s="18" t="s">
        <v>26</v>
      </c>
      <c r="G367" s="5">
        <v>24</v>
      </c>
      <c r="H367" s="24">
        <v>5237.5</v>
      </c>
      <c r="I367" s="23">
        <f t="shared" si="6"/>
        <v>125700</v>
      </c>
      <c r="J367" s="12" t="s">
        <v>43</v>
      </c>
      <c r="K367" s="12" t="s">
        <v>41</v>
      </c>
      <c r="L367" s="6"/>
      <c r="M367" s="6"/>
      <c r="N367" s="6"/>
      <c r="O367" s="6"/>
      <c r="P367" s="6"/>
      <c r="Q367" s="6"/>
      <c r="R367" s="6"/>
      <c r="S367" s="6"/>
      <c r="T367" s="6"/>
      <c r="U367"/>
      <c r="V367"/>
      <c r="W367"/>
      <c r="X367"/>
    </row>
    <row r="368" spans="1:24" ht="33.75" x14ac:dyDescent="0.2">
      <c r="A368" s="18">
        <v>361</v>
      </c>
      <c r="B368" s="8" t="s">
        <v>146</v>
      </c>
      <c r="C368" s="5" t="s">
        <v>909</v>
      </c>
      <c r="D368" s="13">
        <v>142</v>
      </c>
      <c r="E368" s="7" t="s">
        <v>146</v>
      </c>
      <c r="F368" s="18" t="s">
        <v>26</v>
      </c>
      <c r="G368" s="5">
        <v>5</v>
      </c>
      <c r="H368" s="24">
        <v>71925.89</v>
      </c>
      <c r="I368" s="23">
        <f t="shared" si="6"/>
        <v>359629.45</v>
      </c>
      <c r="J368" s="12" t="s">
        <v>43</v>
      </c>
      <c r="K368" s="12" t="s">
        <v>41</v>
      </c>
      <c r="L368" s="6"/>
      <c r="M368" s="6"/>
      <c r="N368" s="6"/>
      <c r="O368" s="6"/>
      <c r="P368" s="6"/>
      <c r="Q368" s="6"/>
      <c r="R368" s="6"/>
      <c r="S368" s="6"/>
      <c r="T368" s="6"/>
      <c r="U368"/>
      <c r="V368"/>
      <c r="W368"/>
      <c r="X368"/>
    </row>
    <row r="369" spans="1:24" ht="33.75" x14ac:dyDescent="0.2">
      <c r="A369" s="18">
        <v>362</v>
      </c>
      <c r="B369" s="8" t="s">
        <v>147</v>
      </c>
      <c r="C369" s="5" t="s">
        <v>909</v>
      </c>
      <c r="D369" s="13">
        <v>142</v>
      </c>
      <c r="E369" s="7" t="s">
        <v>147</v>
      </c>
      <c r="F369" s="18" t="s">
        <v>26</v>
      </c>
      <c r="G369" s="5">
        <v>5</v>
      </c>
      <c r="H369" s="24">
        <v>71567.850000000006</v>
      </c>
      <c r="I369" s="23">
        <f t="shared" si="6"/>
        <v>357839.25</v>
      </c>
      <c r="J369" s="12" t="s">
        <v>43</v>
      </c>
      <c r="K369" s="12" t="s">
        <v>41</v>
      </c>
      <c r="L369" s="6"/>
      <c r="M369" s="6"/>
      <c r="N369" s="6"/>
      <c r="O369" s="6"/>
      <c r="P369" s="6"/>
      <c r="Q369" s="6"/>
      <c r="R369" s="6"/>
      <c r="S369" s="6"/>
      <c r="T369" s="6"/>
      <c r="U369"/>
      <c r="V369"/>
      <c r="W369"/>
      <c r="X369"/>
    </row>
    <row r="370" spans="1:24" ht="33.75" x14ac:dyDescent="0.2">
      <c r="A370" s="18">
        <v>363</v>
      </c>
      <c r="B370" s="8" t="s">
        <v>148</v>
      </c>
      <c r="C370" s="5" t="s">
        <v>909</v>
      </c>
      <c r="D370" s="13">
        <v>142</v>
      </c>
      <c r="E370" s="7" t="s">
        <v>148</v>
      </c>
      <c r="F370" s="18" t="s">
        <v>26</v>
      </c>
      <c r="G370" s="5">
        <v>10</v>
      </c>
      <c r="H370" s="24">
        <v>21244.639999999999</v>
      </c>
      <c r="I370" s="23">
        <f t="shared" si="6"/>
        <v>212446.4</v>
      </c>
      <c r="J370" s="12" t="s">
        <v>43</v>
      </c>
      <c r="K370" s="12" t="s">
        <v>41</v>
      </c>
      <c r="L370" s="6"/>
      <c r="M370" s="6"/>
      <c r="N370" s="6"/>
      <c r="O370" s="6"/>
      <c r="P370" s="6"/>
      <c r="Q370" s="6"/>
      <c r="R370" s="6"/>
      <c r="S370" s="6"/>
      <c r="T370" s="6"/>
      <c r="U370"/>
      <c r="V370"/>
      <c r="W370"/>
      <c r="X370"/>
    </row>
    <row r="371" spans="1:24" ht="33.75" x14ac:dyDescent="0.2">
      <c r="A371" s="18">
        <v>364</v>
      </c>
      <c r="B371" s="8" t="s">
        <v>149</v>
      </c>
      <c r="C371" s="5" t="s">
        <v>909</v>
      </c>
      <c r="D371" s="13">
        <v>142</v>
      </c>
      <c r="E371" s="7" t="s">
        <v>149</v>
      </c>
      <c r="F371" s="18" t="s">
        <v>26</v>
      </c>
      <c r="G371" s="5">
        <v>32</v>
      </c>
      <c r="H371" s="24">
        <v>10840.17</v>
      </c>
      <c r="I371" s="23">
        <f t="shared" si="6"/>
        <v>346885.44</v>
      </c>
      <c r="J371" s="12" t="s">
        <v>43</v>
      </c>
      <c r="K371" s="12" t="s">
        <v>41</v>
      </c>
      <c r="L371" s="6"/>
      <c r="M371" s="6"/>
      <c r="N371" s="6"/>
      <c r="O371" s="6"/>
      <c r="P371" s="6"/>
      <c r="Q371" s="6"/>
      <c r="R371" s="6"/>
      <c r="S371" s="6"/>
      <c r="T371" s="6"/>
      <c r="U371"/>
      <c r="V371"/>
      <c r="W371"/>
      <c r="X371"/>
    </row>
    <row r="372" spans="1:24" ht="33.75" x14ac:dyDescent="0.2">
      <c r="A372" s="18">
        <v>365</v>
      </c>
      <c r="B372" s="8" t="s">
        <v>150</v>
      </c>
      <c r="C372" s="5" t="s">
        <v>909</v>
      </c>
      <c r="D372" s="13">
        <v>142</v>
      </c>
      <c r="E372" s="7" t="s">
        <v>150</v>
      </c>
      <c r="F372" s="18" t="s">
        <v>26</v>
      </c>
      <c r="G372" s="5">
        <v>12</v>
      </c>
      <c r="H372" s="24">
        <v>14125</v>
      </c>
      <c r="I372" s="23">
        <f t="shared" si="6"/>
        <v>169500</v>
      </c>
      <c r="J372" s="12" t="s">
        <v>43</v>
      </c>
      <c r="K372" s="12" t="s">
        <v>41</v>
      </c>
      <c r="L372" s="6"/>
      <c r="M372" s="6"/>
      <c r="N372" s="6"/>
      <c r="O372" s="6"/>
      <c r="P372" s="6"/>
      <c r="Q372" s="6"/>
      <c r="R372" s="6"/>
      <c r="S372" s="6"/>
      <c r="T372" s="6"/>
      <c r="U372"/>
      <c r="V372"/>
      <c r="W372"/>
      <c r="X372"/>
    </row>
    <row r="373" spans="1:24" ht="33.75" x14ac:dyDescent="0.2">
      <c r="A373" s="18">
        <v>366</v>
      </c>
      <c r="B373" s="8" t="s">
        <v>151</v>
      </c>
      <c r="C373" s="5" t="s">
        <v>909</v>
      </c>
      <c r="D373" s="13">
        <v>142</v>
      </c>
      <c r="E373" s="7" t="s">
        <v>151</v>
      </c>
      <c r="F373" s="18" t="s">
        <v>26</v>
      </c>
      <c r="G373" s="5">
        <v>12</v>
      </c>
      <c r="H373" s="24">
        <v>29666.07</v>
      </c>
      <c r="I373" s="23">
        <f t="shared" si="6"/>
        <v>355992.83999999997</v>
      </c>
      <c r="J373" s="12" t="s">
        <v>43</v>
      </c>
      <c r="K373" s="12" t="s">
        <v>41</v>
      </c>
      <c r="L373" s="6"/>
      <c r="M373" s="6"/>
      <c r="N373" s="6"/>
      <c r="O373" s="6"/>
      <c r="P373" s="6"/>
      <c r="Q373" s="6"/>
      <c r="R373" s="6"/>
      <c r="S373" s="6"/>
      <c r="T373" s="6"/>
      <c r="U373"/>
      <c r="V373"/>
      <c r="W373"/>
      <c r="X373"/>
    </row>
    <row r="374" spans="1:24" ht="33.75" x14ac:dyDescent="0.2">
      <c r="A374" s="18">
        <v>367</v>
      </c>
      <c r="B374" s="8" t="s">
        <v>152</v>
      </c>
      <c r="C374" s="5" t="s">
        <v>909</v>
      </c>
      <c r="D374" s="13">
        <v>142</v>
      </c>
      <c r="E374" s="7" t="s">
        <v>152</v>
      </c>
      <c r="F374" s="18" t="s">
        <v>26</v>
      </c>
      <c r="G374" s="5">
        <v>12</v>
      </c>
      <c r="H374" s="24">
        <v>65561.600000000006</v>
      </c>
      <c r="I374" s="23">
        <f t="shared" si="6"/>
        <v>786739.20000000007</v>
      </c>
      <c r="J374" s="12" t="s">
        <v>43</v>
      </c>
      <c r="K374" s="12" t="s">
        <v>41</v>
      </c>
      <c r="L374" s="6"/>
      <c r="M374" s="6"/>
      <c r="N374" s="6"/>
      <c r="O374" s="6"/>
      <c r="P374" s="6"/>
      <c r="Q374" s="6"/>
      <c r="R374" s="6"/>
      <c r="S374" s="6"/>
      <c r="T374" s="6"/>
      <c r="U374"/>
      <c r="V374"/>
      <c r="W374"/>
      <c r="X374"/>
    </row>
    <row r="375" spans="1:24" ht="33.75" x14ac:dyDescent="0.2">
      <c r="A375" s="18">
        <v>368</v>
      </c>
      <c r="B375" s="8" t="s">
        <v>153</v>
      </c>
      <c r="C375" s="5" t="s">
        <v>909</v>
      </c>
      <c r="D375" s="13">
        <v>142</v>
      </c>
      <c r="E375" s="7" t="s">
        <v>153</v>
      </c>
      <c r="F375" s="18" t="s">
        <v>26</v>
      </c>
      <c r="G375" s="5">
        <v>12</v>
      </c>
      <c r="H375" s="24">
        <v>14022.32</v>
      </c>
      <c r="I375" s="23">
        <f t="shared" si="6"/>
        <v>168267.84</v>
      </c>
      <c r="J375" s="12" t="s">
        <v>43</v>
      </c>
      <c r="K375" s="12" t="s">
        <v>41</v>
      </c>
      <c r="L375" s="6"/>
      <c r="M375" s="6"/>
      <c r="N375" s="6"/>
      <c r="O375" s="6"/>
      <c r="P375" s="6"/>
      <c r="Q375" s="6"/>
      <c r="R375" s="6"/>
      <c r="S375" s="6"/>
      <c r="T375" s="6"/>
      <c r="U375"/>
      <c r="V375"/>
      <c r="W375"/>
      <c r="X375"/>
    </row>
    <row r="376" spans="1:24" ht="33.75" x14ac:dyDescent="0.2">
      <c r="A376" s="18">
        <v>369</v>
      </c>
      <c r="B376" s="8" t="s">
        <v>154</v>
      </c>
      <c r="C376" s="5" t="s">
        <v>909</v>
      </c>
      <c r="D376" s="13">
        <v>142</v>
      </c>
      <c r="E376" s="7" t="s">
        <v>154</v>
      </c>
      <c r="F376" s="18" t="s">
        <v>26</v>
      </c>
      <c r="G376" s="5">
        <v>1</v>
      </c>
      <c r="H376" s="24">
        <v>42485.71</v>
      </c>
      <c r="I376" s="23">
        <f t="shared" si="6"/>
        <v>42485.71</v>
      </c>
      <c r="J376" s="12" t="s">
        <v>43</v>
      </c>
      <c r="K376" s="12" t="s">
        <v>41</v>
      </c>
      <c r="L376" s="6"/>
      <c r="M376" s="6"/>
      <c r="N376" s="6"/>
      <c r="O376" s="6"/>
      <c r="P376" s="6"/>
      <c r="Q376" s="6"/>
      <c r="R376" s="6"/>
      <c r="S376" s="6"/>
      <c r="T376" s="6"/>
      <c r="U376"/>
      <c r="V376"/>
      <c r="W376"/>
      <c r="X376"/>
    </row>
    <row r="377" spans="1:24" ht="33.75" x14ac:dyDescent="0.2">
      <c r="A377" s="18">
        <v>370</v>
      </c>
      <c r="B377" s="8" t="s">
        <v>155</v>
      </c>
      <c r="C377" s="5" t="s">
        <v>909</v>
      </c>
      <c r="D377" s="13">
        <v>142</v>
      </c>
      <c r="E377" s="7" t="s">
        <v>155</v>
      </c>
      <c r="F377" s="18" t="s">
        <v>26</v>
      </c>
      <c r="G377" s="5">
        <v>1</v>
      </c>
      <c r="H377" s="24">
        <v>62089.279999999999</v>
      </c>
      <c r="I377" s="23">
        <f t="shared" si="6"/>
        <v>62089.279999999999</v>
      </c>
      <c r="J377" s="12" t="s">
        <v>43</v>
      </c>
      <c r="K377" s="12" t="s">
        <v>41</v>
      </c>
      <c r="L377" s="6"/>
      <c r="M377" s="6"/>
      <c r="N377" s="6"/>
      <c r="O377" s="6"/>
      <c r="P377" s="6"/>
      <c r="Q377" s="6"/>
      <c r="R377" s="6"/>
      <c r="S377" s="6"/>
      <c r="T377" s="6"/>
      <c r="U377"/>
      <c r="V377"/>
      <c r="W377"/>
      <c r="X377"/>
    </row>
    <row r="378" spans="1:24" ht="33.75" x14ac:dyDescent="0.2">
      <c r="A378" s="18">
        <v>371</v>
      </c>
      <c r="B378" s="8" t="s">
        <v>156</v>
      </c>
      <c r="C378" s="5" t="s">
        <v>909</v>
      </c>
      <c r="D378" s="13">
        <v>142</v>
      </c>
      <c r="E378" s="7" t="s">
        <v>156</v>
      </c>
      <c r="F378" s="18" t="s">
        <v>26</v>
      </c>
      <c r="G378" s="5">
        <v>3</v>
      </c>
      <c r="H378" s="24">
        <v>73087.5</v>
      </c>
      <c r="I378" s="23">
        <f t="shared" si="6"/>
        <v>219262.5</v>
      </c>
      <c r="J378" s="12" t="s">
        <v>43</v>
      </c>
      <c r="K378" s="12" t="s">
        <v>41</v>
      </c>
      <c r="L378" s="6"/>
      <c r="M378" s="6"/>
      <c r="N378" s="6"/>
      <c r="O378" s="6"/>
      <c r="P378" s="6"/>
      <c r="Q378" s="6"/>
      <c r="R378" s="6"/>
      <c r="S378" s="6"/>
      <c r="T378" s="6"/>
      <c r="U378"/>
      <c r="V378"/>
      <c r="W378"/>
      <c r="X378"/>
    </row>
    <row r="379" spans="1:24" ht="33.75" x14ac:dyDescent="0.2">
      <c r="A379" s="18">
        <v>372</v>
      </c>
      <c r="B379" s="8" t="s">
        <v>157</v>
      </c>
      <c r="C379" s="5" t="s">
        <v>909</v>
      </c>
      <c r="D379" s="13">
        <v>142</v>
      </c>
      <c r="E379" s="7" t="s">
        <v>157</v>
      </c>
      <c r="F379" s="18" t="s">
        <v>27</v>
      </c>
      <c r="G379" s="18">
        <v>30</v>
      </c>
      <c r="H379" s="24">
        <v>16939.28</v>
      </c>
      <c r="I379" s="23">
        <f t="shared" si="6"/>
        <v>508178.39999999997</v>
      </c>
      <c r="J379" s="12" t="s">
        <v>43</v>
      </c>
      <c r="K379" s="12" t="s">
        <v>41</v>
      </c>
      <c r="L379" s="6"/>
      <c r="M379" s="6"/>
      <c r="N379" s="6"/>
      <c r="O379" s="6"/>
      <c r="P379" s="6"/>
      <c r="Q379" s="6"/>
      <c r="R379" s="6"/>
      <c r="S379" s="6"/>
      <c r="T379" s="6"/>
      <c r="U379"/>
      <c r="V379"/>
      <c r="W379"/>
      <c r="X379"/>
    </row>
    <row r="380" spans="1:24" ht="33.75" x14ac:dyDescent="0.2">
      <c r="A380" s="18">
        <v>373</v>
      </c>
      <c r="B380" s="8" t="s">
        <v>158</v>
      </c>
      <c r="C380" s="5" t="s">
        <v>909</v>
      </c>
      <c r="D380" s="13">
        <v>142</v>
      </c>
      <c r="E380" s="7" t="s">
        <v>158</v>
      </c>
      <c r="F380" s="18" t="s">
        <v>27</v>
      </c>
      <c r="G380" s="18">
        <v>4</v>
      </c>
      <c r="H380" s="24">
        <v>27678.57</v>
      </c>
      <c r="I380" s="23">
        <f t="shared" si="6"/>
        <v>110714.28</v>
      </c>
      <c r="J380" s="12" t="s">
        <v>43</v>
      </c>
      <c r="K380" s="12" t="s">
        <v>41</v>
      </c>
      <c r="L380" s="6"/>
      <c r="M380" s="6"/>
      <c r="N380" s="6"/>
      <c r="O380" s="6"/>
      <c r="P380" s="6"/>
      <c r="Q380" s="6"/>
      <c r="R380" s="6"/>
      <c r="S380" s="6"/>
      <c r="T380" s="6"/>
      <c r="U380"/>
      <c r="V380"/>
      <c r="W380"/>
      <c r="X380"/>
    </row>
    <row r="381" spans="1:24" ht="33.75" x14ac:dyDescent="0.2">
      <c r="A381" s="18">
        <v>374</v>
      </c>
      <c r="B381" s="8" t="s">
        <v>159</v>
      </c>
      <c r="C381" s="5" t="s">
        <v>909</v>
      </c>
      <c r="D381" s="13">
        <v>142</v>
      </c>
      <c r="E381" s="7" t="s">
        <v>159</v>
      </c>
      <c r="F381" s="18" t="s">
        <v>27</v>
      </c>
      <c r="G381" s="18">
        <v>10</v>
      </c>
      <c r="H381" s="24">
        <v>32421.42</v>
      </c>
      <c r="I381" s="23">
        <f t="shared" si="6"/>
        <v>324214.19999999995</v>
      </c>
      <c r="J381" s="12" t="s">
        <v>43</v>
      </c>
      <c r="K381" s="12" t="s">
        <v>41</v>
      </c>
      <c r="L381" s="6"/>
      <c r="M381" s="6"/>
      <c r="N381" s="6"/>
      <c r="O381" s="6"/>
      <c r="P381" s="6"/>
      <c r="Q381" s="6"/>
      <c r="R381" s="6"/>
      <c r="S381" s="6"/>
      <c r="T381" s="6"/>
      <c r="U381"/>
      <c r="V381"/>
      <c r="W381"/>
      <c r="X381"/>
    </row>
    <row r="382" spans="1:24" ht="33.75" x14ac:dyDescent="0.2">
      <c r="A382" s="18">
        <v>375</v>
      </c>
      <c r="B382" s="8" t="s">
        <v>160</v>
      </c>
      <c r="C382" s="5" t="s">
        <v>909</v>
      </c>
      <c r="D382" s="13">
        <v>142</v>
      </c>
      <c r="E382" s="19" t="s">
        <v>160</v>
      </c>
      <c r="F382" s="18" t="s">
        <v>27</v>
      </c>
      <c r="G382" s="18">
        <v>10</v>
      </c>
      <c r="H382" s="24">
        <v>24771.42</v>
      </c>
      <c r="I382" s="23">
        <f t="shared" si="6"/>
        <v>247714.19999999998</v>
      </c>
      <c r="J382" s="12" t="s">
        <v>43</v>
      </c>
      <c r="K382" s="12" t="s">
        <v>41</v>
      </c>
      <c r="L382" s="6"/>
      <c r="M382" s="6"/>
      <c r="N382" s="6"/>
      <c r="O382" s="6"/>
      <c r="P382" s="6"/>
      <c r="Q382" s="6"/>
      <c r="R382" s="6"/>
      <c r="S382" s="6"/>
      <c r="T382" s="6"/>
      <c r="U382"/>
      <c r="V382"/>
      <c r="W382"/>
      <c r="X382"/>
    </row>
    <row r="383" spans="1:24" ht="33.75" x14ac:dyDescent="0.2">
      <c r="A383" s="18">
        <v>376</v>
      </c>
      <c r="B383" s="8" t="s">
        <v>161</v>
      </c>
      <c r="C383" s="5" t="s">
        <v>909</v>
      </c>
      <c r="D383" s="13">
        <v>142</v>
      </c>
      <c r="E383" s="7" t="s">
        <v>161</v>
      </c>
      <c r="F383" s="18" t="s">
        <v>27</v>
      </c>
      <c r="G383" s="18">
        <v>5</v>
      </c>
      <c r="H383" s="24">
        <v>16757.14</v>
      </c>
      <c r="I383" s="23">
        <f t="shared" si="6"/>
        <v>83785.7</v>
      </c>
      <c r="J383" s="12" t="s">
        <v>43</v>
      </c>
      <c r="K383" s="12" t="s">
        <v>41</v>
      </c>
      <c r="L383" s="6"/>
      <c r="M383" s="6"/>
      <c r="N383" s="6"/>
      <c r="O383" s="6"/>
      <c r="P383" s="6"/>
      <c r="Q383" s="6"/>
      <c r="R383" s="6"/>
      <c r="S383" s="6"/>
      <c r="T383" s="6"/>
      <c r="U383"/>
      <c r="V383"/>
      <c r="W383"/>
      <c r="X383"/>
    </row>
    <row r="384" spans="1:24" ht="33.75" x14ac:dyDescent="0.2">
      <c r="A384" s="18">
        <v>377</v>
      </c>
      <c r="B384" s="8" t="s">
        <v>162</v>
      </c>
      <c r="C384" s="5" t="s">
        <v>909</v>
      </c>
      <c r="D384" s="13">
        <v>142</v>
      </c>
      <c r="E384" s="7" t="s">
        <v>162</v>
      </c>
      <c r="F384" s="18" t="s">
        <v>48</v>
      </c>
      <c r="G384" s="18">
        <v>5</v>
      </c>
      <c r="H384" s="24">
        <v>83421.42</v>
      </c>
      <c r="I384" s="23">
        <f t="shared" si="6"/>
        <v>417107.1</v>
      </c>
      <c r="J384" s="12" t="s">
        <v>43</v>
      </c>
      <c r="K384" s="12" t="s">
        <v>41</v>
      </c>
      <c r="L384" s="6"/>
      <c r="M384" s="6"/>
      <c r="N384" s="6"/>
      <c r="O384" s="6"/>
      <c r="P384" s="6"/>
      <c r="Q384" s="6"/>
      <c r="R384" s="6"/>
      <c r="S384" s="6"/>
      <c r="T384" s="6"/>
      <c r="U384"/>
      <c r="V384"/>
      <c r="W384"/>
      <c r="X384"/>
    </row>
    <row r="385" spans="1:24" ht="33.75" x14ac:dyDescent="0.2">
      <c r="A385" s="18">
        <v>378</v>
      </c>
      <c r="B385" s="8" t="s">
        <v>422</v>
      </c>
      <c r="C385" s="5" t="s">
        <v>909</v>
      </c>
      <c r="D385" s="13">
        <v>142</v>
      </c>
      <c r="E385" s="8" t="s">
        <v>422</v>
      </c>
      <c r="F385" s="18" t="s">
        <v>42</v>
      </c>
      <c r="G385" s="18">
        <v>500</v>
      </c>
      <c r="H385" s="24">
        <f>90/1.12</f>
        <v>80.357142857142847</v>
      </c>
      <c r="I385" s="23">
        <f t="shared" si="6"/>
        <v>40178.57142857142</v>
      </c>
      <c r="J385" s="12" t="s">
        <v>43</v>
      </c>
      <c r="K385" s="12" t="s">
        <v>41</v>
      </c>
      <c r="L385" s="6"/>
      <c r="M385" s="6"/>
      <c r="N385" s="6"/>
      <c r="O385" s="6"/>
      <c r="P385" s="6"/>
      <c r="Q385" s="6"/>
      <c r="R385" s="6"/>
      <c r="S385" s="6"/>
      <c r="T385" s="6"/>
      <c r="U385"/>
      <c r="V385"/>
      <c r="W385"/>
      <c r="X385"/>
    </row>
    <row r="386" spans="1:24" ht="33.75" x14ac:dyDescent="0.2">
      <c r="A386" s="18">
        <v>379</v>
      </c>
      <c r="B386" s="8" t="s">
        <v>423</v>
      </c>
      <c r="C386" s="5" t="s">
        <v>909</v>
      </c>
      <c r="D386" s="13">
        <v>142</v>
      </c>
      <c r="E386" s="8" t="s">
        <v>423</v>
      </c>
      <c r="F386" s="18" t="s">
        <v>42</v>
      </c>
      <c r="G386" s="18">
        <v>500</v>
      </c>
      <c r="H386" s="24">
        <f>90.6/1.12</f>
        <v>80.892857142857125</v>
      </c>
      <c r="I386" s="23">
        <f t="shared" si="6"/>
        <v>40446.428571428565</v>
      </c>
      <c r="J386" s="12" t="s">
        <v>43</v>
      </c>
      <c r="K386" s="12" t="s">
        <v>41</v>
      </c>
      <c r="L386" s="6"/>
      <c r="M386" s="6"/>
      <c r="N386" s="6"/>
      <c r="O386" s="6"/>
      <c r="P386" s="6"/>
      <c r="Q386" s="6"/>
      <c r="R386" s="6"/>
      <c r="S386" s="6"/>
      <c r="T386" s="6"/>
      <c r="U386"/>
      <c r="V386"/>
      <c r="W386"/>
      <c r="X386"/>
    </row>
    <row r="387" spans="1:24" ht="33.75" x14ac:dyDescent="0.2">
      <c r="A387" s="18">
        <v>380</v>
      </c>
      <c r="B387" s="8" t="s">
        <v>424</v>
      </c>
      <c r="C387" s="5" t="s">
        <v>909</v>
      </c>
      <c r="D387" s="13">
        <v>142</v>
      </c>
      <c r="E387" s="8" t="s">
        <v>424</v>
      </c>
      <c r="F387" s="18" t="s">
        <v>694</v>
      </c>
      <c r="G387" s="18">
        <v>2</v>
      </c>
      <c r="H387" s="24">
        <f>15/1.12</f>
        <v>13.392857142857142</v>
      </c>
      <c r="I387" s="23">
        <f t="shared" si="6"/>
        <v>26.785714285714285</v>
      </c>
      <c r="J387" s="12" t="s">
        <v>43</v>
      </c>
      <c r="K387" s="12" t="s">
        <v>41</v>
      </c>
      <c r="L387" s="6"/>
      <c r="M387" s="6"/>
      <c r="N387" s="6"/>
      <c r="O387" s="6"/>
      <c r="P387" s="6"/>
      <c r="Q387" s="6"/>
      <c r="R387" s="6"/>
      <c r="S387" s="6"/>
      <c r="T387" s="6"/>
      <c r="U387"/>
      <c r="V387"/>
      <c r="W387"/>
      <c r="X387"/>
    </row>
    <row r="388" spans="1:24" ht="33.75" x14ac:dyDescent="0.2">
      <c r="A388" s="18">
        <v>381</v>
      </c>
      <c r="B388" s="8" t="s">
        <v>163</v>
      </c>
      <c r="C388" s="5" t="s">
        <v>909</v>
      </c>
      <c r="D388" s="13">
        <v>142</v>
      </c>
      <c r="E388" s="7" t="s">
        <v>163</v>
      </c>
      <c r="F388" s="18" t="s">
        <v>51</v>
      </c>
      <c r="G388" s="18">
        <v>25</v>
      </c>
      <c r="H388" s="24">
        <v>18262.5</v>
      </c>
      <c r="I388" s="23">
        <f t="shared" si="6"/>
        <v>456562.5</v>
      </c>
      <c r="J388" s="12" t="s">
        <v>43</v>
      </c>
      <c r="K388" s="12" t="s">
        <v>41</v>
      </c>
      <c r="L388" s="6"/>
      <c r="M388" s="6"/>
      <c r="N388" s="6"/>
      <c r="O388" s="6"/>
      <c r="P388" s="6"/>
      <c r="Q388" s="6"/>
      <c r="R388" s="6"/>
      <c r="S388" s="6"/>
      <c r="T388" s="6"/>
      <c r="U388"/>
      <c r="V388"/>
      <c r="W388"/>
      <c r="X388"/>
    </row>
    <row r="389" spans="1:24" ht="33.75" x14ac:dyDescent="0.2">
      <c r="A389" s="18">
        <v>382</v>
      </c>
      <c r="B389" s="8" t="s">
        <v>164</v>
      </c>
      <c r="C389" s="5" t="s">
        <v>909</v>
      </c>
      <c r="D389" s="13">
        <v>142</v>
      </c>
      <c r="E389" s="7" t="s">
        <v>164</v>
      </c>
      <c r="F389" s="18" t="s">
        <v>51</v>
      </c>
      <c r="G389" s="18">
        <v>6</v>
      </c>
      <c r="H389" s="24">
        <v>20446.419999999998</v>
      </c>
      <c r="I389" s="23">
        <f t="shared" si="6"/>
        <v>122678.51999999999</v>
      </c>
      <c r="J389" s="12" t="s">
        <v>43</v>
      </c>
      <c r="K389" s="12" t="s">
        <v>41</v>
      </c>
      <c r="L389" s="6"/>
      <c r="M389" s="6"/>
      <c r="N389" s="6"/>
      <c r="O389" s="6"/>
      <c r="P389" s="6"/>
      <c r="Q389" s="6"/>
      <c r="R389" s="6"/>
      <c r="S389" s="6"/>
      <c r="T389" s="6"/>
      <c r="U389"/>
      <c r="V389"/>
      <c r="W389"/>
      <c r="X389"/>
    </row>
    <row r="390" spans="1:24" ht="33.75" x14ac:dyDescent="0.2">
      <c r="A390" s="18">
        <v>383</v>
      </c>
      <c r="B390" s="8" t="s">
        <v>425</v>
      </c>
      <c r="C390" s="5" t="s">
        <v>909</v>
      </c>
      <c r="D390" s="13">
        <v>142</v>
      </c>
      <c r="E390" s="8" t="s">
        <v>425</v>
      </c>
      <c r="F390" s="18" t="s">
        <v>40</v>
      </c>
      <c r="G390" s="18">
        <v>3</v>
      </c>
      <c r="H390" s="24">
        <f>1560/1.12</f>
        <v>1392.8571428571427</v>
      </c>
      <c r="I390" s="23">
        <f t="shared" si="6"/>
        <v>4178.5714285714275</v>
      </c>
      <c r="J390" s="12" t="s">
        <v>43</v>
      </c>
      <c r="K390" s="12" t="s">
        <v>41</v>
      </c>
      <c r="L390" s="6"/>
      <c r="M390" s="6"/>
      <c r="N390" s="6"/>
      <c r="O390" s="6"/>
      <c r="P390" s="6"/>
      <c r="Q390" s="6"/>
      <c r="R390" s="6"/>
      <c r="S390" s="6"/>
      <c r="T390" s="6"/>
      <c r="U390"/>
      <c r="V390"/>
      <c r="W390"/>
      <c r="X390"/>
    </row>
    <row r="391" spans="1:24" ht="33.75" x14ac:dyDescent="0.2">
      <c r="A391" s="18">
        <v>384</v>
      </c>
      <c r="B391" s="8" t="s">
        <v>426</v>
      </c>
      <c r="C391" s="5" t="s">
        <v>909</v>
      </c>
      <c r="D391" s="13">
        <v>142</v>
      </c>
      <c r="E391" s="8" t="s">
        <v>426</v>
      </c>
      <c r="F391" s="18" t="s">
        <v>48</v>
      </c>
      <c r="G391" s="18">
        <v>10</v>
      </c>
      <c r="H391" s="24">
        <v>22646.42</v>
      </c>
      <c r="I391" s="23">
        <f t="shared" si="6"/>
        <v>226464.19999999998</v>
      </c>
      <c r="J391" s="12" t="s">
        <v>43</v>
      </c>
      <c r="K391" s="12" t="s">
        <v>41</v>
      </c>
      <c r="L391" s="6"/>
      <c r="M391" s="6"/>
      <c r="N391" s="6"/>
      <c r="O391" s="6"/>
      <c r="P391" s="6"/>
      <c r="Q391" s="6"/>
      <c r="R391" s="6"/>
      <c r="S391" s="6"/>
      <c r="T391" s="6"/>
      <c r="U391"/>
      <c r="V391"/>
      <c r="W391"/>
      <c r="X391"/>
    </row>
    <row r="392" spans="1:24" ht="33.75" x14ac:dyDescent="0.2">
      <c r="A392" s="18">
        <v>385</v>
      </c>
      <c r="B392" s="8" t="s">
        <v>427</v>
      </c>
      <c r="C392" s="5" t="s">
        <v>909</v>
      </c>
      <c r="D392" s="13">
        <v>142</v>
      </c>
      <c r="E392" s="19" t="s">
        <v>855</v>
      </c>
      <c r="F392" s="18" t="s">
        <v>51</v>
      </c>
      <c r="G392" s="18">
        <v>2</v>
      </c>
      <c r="H392" s="24">
        <v>13089.28</v>
      </c>
      <c r="I392" s="23">
        <f t="shared" si="6"/>
        <v>26178.560000000001</v>
      </c>
      <c r="J392" s="12" t="s">
        <v>43</v>
      </c>
      <c r="K392" s="12" t="s">
        <v>41</v>
      </c>
      <c r="L392" s="6"/>
      <c r="M392" s="6"/>
      <c r="N392" s="6"/>
      <c r="O392" s="6"/>
      <c r="P392" s="6"/>
      <c r="Q392" s="6"/>
      <c r="R392" s="6"/>
      <c r="S392" s="6"/>
      <c r="T392" s="6"/>
      <c r="U392"/>
      <c r="V392"/>
      <c r="W392"/>
      <c r="X392"/>
    </row>
    <row r="393" spans="1:24" ht="33.75" x14ac:dyDescent="0.2">
      <c r="A393" s="18">
        <v>386</v>
      </c>
      <c r="B393" s="8" t="s">
        <v>165</v>
      </c>
      <c r="C393" s="5" t="s">
        <v>909</v>
      </c>
      <c r="D393" s="13">
        <v>142</v>
      </c>
      <c r="E393" s="19" t="s">
        <v>165</v>
      </c>
      <c r="F393" s="18" t="s">
        <v>51</v>
      </c>
      <c r="G393" s="18">
        <v>2</v>
      </c>
      <c r="H393" s="24">
        <v>99546.42</v>
      </c>
      <c r="I393" s="23">
        <f t="shared" si="6"/>
        <v>199092.84</v>
      </c>
      <c r="J393" s="12" t="s">
        <v>43</v>
      </c>
      <c r="K393" s="12" t="s">
        <v>41</v>
      </c>
      <c r="L393" s="6"/>
      <c r="M393" s="6"/>
      <c r="N393" s="6"/>
      <c r="O393" s="6"/>
      <c r="P393" s="6"/>
      <c r="Q393" s="6"/>
      <c r="R393" s="6"/>
      <c r="S393" s="6"/>
      <c r="T393" s="6"/>
      <c r="U393"/>
      <c r="V393"/>
      <c r="W393"/>
      <c r="X393"/>
    </row>
    <row r="394" spans="1:24" ht="33.75" x14ac:dyDescent="0.2">
      <c r="A394" s="18">
        <v>387</v>
      </c>
      <c r="B394" s="8" t="s">
        <v>428</v>
      </c>
      <c r="C394" s="5" t="s">
        <v>909</v>
      </c>
      <c r="D394" s="13">
        <v>142</v>
      </c>
      <c r="E394" s="7" t="s">
        <v>428</v>
      </c>
      <c r="F394" s="18" t="s">
        <v>26</v>
      </c>
      <c r="G394" s="18">
        <v>1</v>
      </c>
      <c r="H394" s="24">
        <f>131207.14/1.12</f>
        <v>117149.23214285714</v>
      </c>
      <c r="I394" s="23">
        <f t="shared" si="6"/>
        <v>117149.23214285714</v>
      </c>
      <c r="J394" s="12" t="s">
        <v>43</v>
      </c>
      <c r="K394" s="12" t="s">
        <v>41</v>
      </c>
      <c r="L394" s="6"/>
      <c r="M394" s="6"/>
      <c r="N394" s="6"/>
      <c r="O394" s="6"/>
      <c r="P394" s="6"/>
      <c r="Q394" s="6"/>
      <c r="R394" s="6"/>
      <c r="S394" s="6"/>
      <c r="T394" s="6"/>
      <c r="U394"/>
      <c r="V394"/>
      <c r="W394"/>
      <c r="X394"/>
    </row>
    <row r="395" spans="1:24" ht="33.75" x14ac:dyDescent="0.2">
      <c r="A395" s="18">
        <v>388</v>
      </c>
      <c r="B395" s="8" t="s">
        <v>429</v>
      </c>
      <c r="C395" s="5" t="s">
        <v>909</v>
      </c>
      <c r="D395" s="13">
        <v>142</v>
      </c>
      <c r="E395" s="7" t="s">
        <v>429</v>
      </c>
      <c r="F395" s="18" t="s">
        <v>26</v>
      </c>
      <c r="G395" s="18">
        <v>2</v>
      </c>
      <c r="H395" s="24">
        <f>27334.82/1.12</f>
        <v>24406.089285714283</v>
      </c>
      <c r="I395" s="23">
        <f t="shared" si="6"/>
        <v>48812.178571428565</v>
      </c>
      <c r="J395" s="12" t="s">
        <v>43</v>
      </c>
      <c r="K395" s="12" t="s">
        <v>41</v>
      </c>
      <c r="L395" s="6"/>
      <c r="M395" s="6"/>
      <c r="N395" s="6"/>
      <c r="O395" s="6"/>
      <c r="P395" s="6"/>
      <c r="Q395" s="6"/>
      <c r="R395" s="6"/>
      <c r="S395" s="6"/>
      <c r="T395" s="6"/>
      <c r="U395"/>
      <c r="V395"/>
      <c r="W395"/>
      <c r="X395"/>
    </row>
    <row r="396" spans="1:24" ht="33.75" x14ac:dyDescent="0.2">
      <c r="A396" s="18">
        <v>389</v>
      </c>
      <c r="B396" s="8" t="s">
        <v>430</v>
      </c>
      <c r="C396" s="5" t="s">
        <v>909</v>
      </c>
      <c r="D396" s="13">
        <v>142</v>
      </c>
      <c r="E396" s="7" t="s">
        <v>430</v>
      </c>
      <c r="F396" s="18" t="s">
        <v>26</v>
      </c>
      <c r="G396" s="18">
        <v>1</v>
      </c>
      <c r="H396" s="24">
        <f>35535.71/1.12</f>
        <v>31728.312499999996</v>
      </c>
      <c r="I396" s="23">
        <f t="shared" si="6"/>
        <v>31728.312499999996</v>
      </c>
      <c r="J396" s="12" t="s">
        <v>43</v>
      </c>
      <c r="K396" s="12" t="s">
        <v>41</v>
      </c>
      <c r="L396" s="6"/>
      <c r="M396" s="6"/>
      <c r="N396" s="6"/>
      <c r="O396" s="6"/>
      <c r="P396" s="6"/>
      <c r="Q396" s="6"/>
      <c r="R396" s="6"/>
      <c r="S396" s="6"/>
      <c r="T396" s="6"/>
      <c r="U396"/>
      <c r="V396"/>
      <c r="W396"/>
      <c r="X396"/>
    </row>
    <row r="397" spans="1:24" ht="33.75" x14ac:dyDescent="0.2">
      <c r="A397" s="18">
        <v>390</v>
      </c>
      <c r="B397" s="8" t="s">
        <v>431</v>
      </c>
      <c r="C397" s="5" t="s">
        <v>909</v>
      </c>
      <c r="D397" s="13">
        <v>142</v>
      </c>
      <c r="E397" s="7" t="s">
        <v>431</v>
      </c>
      <c r="F397" s="18" t="s">
        <v>26</v>
      </c>
      <c r="G397" s="18">
        <v>2</v>
      </c>
      <c r="H397" s="24">
        <f>623233.93/1.12</f>
        <v>556458.86607142852</v>
      </c>
      <c r="I397" s="23">
        <f t="shared" si="6"/>
        <v>1112917.732142857</v>
      </c>
      <c r="J397" s="12" t="s">
        <v>43</v>
      </c>
      <c r="K397" s="12" t="s">
        <v>41</v>
      </c>
      <c r="L397" s="6"/>
      <c r="M397" s="6"/>
      <c r="N397" s="6"/>
      <c r="O397" s="6"/>
      <c r="P397" s="6"/>
      <c r="Q397" s="6"/>
      <c r="R397" s="6"/>
      <c r="S397" s="6"/>
      <c r="T397" s="6"/>
      <c r="U397"/>
      <c r="V397"/>
      <c r="W397"/>
      <c r="X397"/>
    </row>
    <row r="398" spans="1:24" ht="33.75" x14ac:dyDescent="0.2">
      <c r="A398" s="18">
        <v>391</v>
      </c>
      <c r="B398" s="8" t="s">
        <v>432</v>
      </c>
      <c r="C398" s="5" t="s">
        <v>909</v>
      </c>
      <c r="D398" s="13">
        <v>142</v>
      </c>
      <c r="E398" s="7" t="s">
        <v>432</v>
      </c>
      <c r="F398" s="18" t="s">
        <v>26</v>
      </c>
      <c r="G398" s="18">
        <v>2</v>
      </c>
      <c r="H398" s="24">
        <f>27334.82/1.12</f>
        <v>24406.089285714283</v>
      </c>
      <c r="I398" s="23">
        <f t="shared" si="6"/>
        <v>48812.178571428565</v>
      </c>
      <c r="J398" s="12" t="s">
        <v>43</v>
      </c>
      <c r="K398" s="12" t="s">
        <v>41</v>
      </c>
      <c r="L398" s="6"/>
      <c r="M398" s="6"/>
      <c r="N398" s="6"/>
      <c r="O398" s="6"/>
      <c r="P398" s="6"/>
      <c r="Q398" s="6"/>
      <c r="R398" s="6"/>
      <c r="S398" s="6"/>
      <c r="T398" s="6"/>
      <c r="U398"/>
      <c r="V398"/>
      <c r="W398"/>
      <c r="X398"/>
    </row>
    <row r="399" spans="1:24" ht="33.75" x14ac:dyDescent="0.2">
      <c r="A399" s="18">
        <v>392</v>
      </c>
      <c r="B399" s="8" t="s">
        <v>433</v>
      </c>
      <c r="C399" s="5" t="s">
        <v>909</v>
      </c>
      <c r="D399" s="13">
        <v>142</v>
      </c>
      <c r="E399" s="7" t="s">
        <v>433</v>
      </c>
      <c r="F399" s="18" t="s">
        <v>26</v>
      </c>
      <c r="G399" s="18">
        <v>2</v>
      </c>
      <c r="H399" s="24">
        <f>35535.71/1.12</f>
        <v>31728.312499999996</v>
      </c>
      <c r="I399" s="23">
        <f t="shared" ref="I399:I462" si="7">G399*H399</f>
        <v>63456.624999999993</v>
      </c>
      <c r="J399" s="12" t="s">
        <v>43</v>
      </c>
      <c r="K399" s="12" t="s">
        <v>41</v>
      </c>
      <c r="L399" s="6"/>
      <c r="M399" s="6"/>
      <c r="N399" s="6"/>
      <c r="O399" s="6"/>
      <c r="P399" s="6"/>
      <c r="Q399" s="6"/>
      <c r="R399" s="6"/>
      <c r="S399" s="6"/>
      <c r="T399" s="6"/>
      <c r="U399"/>
      <c r="V399"/>
      <c r="W399"/>
      <c r="X399"/>
    </row>
    <row r="400" spans="1:24" ht="33.75" x14ac:dyDescent="0.2">
      <c r="A400" s="18">
        <v>393</v>
      </c>
      <c r="B400" s="8" t="s">
        <v>434</v>
      </c>
      <c r="C400" s="5" t="s">
        <v>909</v>
      </c>
      <c r="D400" s="13">
        <v>142</v>
      </c>
      <c r="E400" s="7" t="s">
        <v>434</v>
      </c>
      <c r="F400" s="18" t="s">
        <v>26</v>
      </c>
      <c r="G400" s="18">
        <v>6</v>
      </c>
      <c r="H400" s="24">
        <f>62870.54/1.12</f>
        <v>56134.41071428571</v>
      </c>
      <c r="I400" s="23">
        <f t="shared" si="7"/>
        <v>336806.46428571426</v>
      </c>
      <c r="J400" s="12" t="s">
        <v>43</v>
      </c>
      <c r="K400" s="12" t="s">
        <v>41</v>
      </c>
      <c r="L400" s="6"/>
      <c r="M400" s="6"/>
      <c r="N400" s="6"/>
      <c r="O400" s="6"/>
      <c r="P400" s="6"/>
      <c r="Q400" s="6"/>
      <c r="R400" s="6"/>
      <c r="S400" s="6"/>
      <c r="T400" s="6"/>
      <c r="U400"/>
      <c r="V400"/>
      <c r="W400"/>
      <c r="X400"/>
    </row>
    <row r="401" spans="1:24" ht="45" x14ac:dyDescent="0.2">
      <c r="A401" s="18">
        <v>394</v>
      </c>
      <c r="B401" s="8" t="s">
        <v>435</v>
      </c>
      <c r="C401" s="5" t="s">
        <v>909</v>
      </c>
      <c r="D401" s="13">
        <v>142</v>
      </c>
      <c r="E401" s="7" t="s">
        <v>435</v>
      </c>
      <c r="F401" s="18" t="s">
        <v>26</v>
      </c>
      <c r="G401" s="18">
        <v>2</v>
      </c>
      <c r="H401" s="24">
        <f>35535.71/1.12</f>
        <v>31728.312499999996</v>
      </c>
      <c r="I401" s="23">
        <f t="shared" si="7"/>
        <v>63456.624999999993</v>
      </c>
      <c r="J401" s="12" t="s">
        <v>43</v>
      </c>
      <c r="K401" s="12" t="s">
        <v>41</v>
      </c>
      <c r="L401" s="6"/>
      <c r="M401" s="6"/>
      <c r="N401" s="6"/>
      <c r="O401" s="6"/>
      <c r="P401" s="6"/>
      <c r="Q401" s="6"/>
      <c r="R401" s="6"/>
      <c r="S401" s="6"/>
      <c r="T401" s="6"/>
      <c r="U401"/>
      <c r="V401"/>
      <c r="W401"/>
      <c r="X401"/>
    </row>
    <row r="402" spans="1:24" ht="33.75" x14ac:dyDescent="0.2">
      <c r="A402" s="18">
        <v>395</v>
      </c>
      <c r="B402" s="8" t="s">
        <v>436</v>
      </c>
      <c r="C402" s="5" t="s">
        <v>909</v>
      </c>
      <c r="D402" s="13">
        <v>142</v>
      </c>
      <c r="E402" s="7" t="s">
        <v>436</v>
      </c>
      <c r="F402" s="18" t="s">
        <v>26</v>
      </c>
      <c r="G402" s="18">
        <v>6</v>
      </c>
      <c r="H402" s="24">
        <f>24601.79/1.12</f>
        <v>21965.883928571428</v>
      </c>
      <c r="I402" s="23">
        <f t="shared" si="7"/>
        <v>131795.30357142858</v>
      </c>
      <c r="J402" s="12" t="s">
        <v>43</v>
      </c>
      <c r="K402" s="12" t="s">
        <v>41</v>
      </c>
      <c r="L402" s="6"/>
      <c r="M402" s="6"/>
      <c r="N402" s="6"/>
      <c r="O402" s="6"/>
      <c r="P402" s="6"/>
      <c r="Q402" s="6"/>
      <c r="R402" s="6"/>
      <c r="S402" s="6"/>
      <c r="T402" s="6"/>
      <c r="U402"/>
      <c r="V402"/>
      <c r="W402"/>
      <c r="X402"/>
    </row>
    <row r="403" spans="1:24" ht="33.75" x14ac:dyDescent="0.2">
      <c r="A403" s="18">
        <v>396</v>
      </c>
      <c r="B403" s="8" t="s">
        <v>437</v>
      </c>
      <c r="C403" s="5" t="s">
        <v>909</v>
      </c>
      <c r="D403" s="13">
        <v>142</v>
      </c>
      <c r="E403" s="7" t="s">
        <v>437</v>
      </c>
      <c r="F403" s="18" t="s">
        <v>26</v>
      </c>
      <c r="G403" s="18">
        <v>6</v>
      </c>
      <c r="H403" s="24">
        <f>547321.43/1.12</f>
        <v>488679.84821428574</v>
      </c>
      <c r="I403" s="23">
        <f t="shared" si="7"/>
        <v>2932079.0892857146</v>
      </c>
      <c r="J403" s="12" t="s">
        <v>43</v>
      </c>
      <c r="K403" s="12" t="s">
        <v>41</v>
      </c>
      <c r="L403" s="6"/>
      <c r="M403" s="6"/>
      <c r="N403" s="6"/>
      <c r="O403" s="6"/>
      <c r="P403" s="6"/>
      <c r="Q403" s="6"/>
      <c r="R403" s="6"/>
      <c r="S403" s="6"/>
      <c r="T403" s="6"/>
      <c r="U403"/>
      <c r="V403"/>
      <c r="W403"/>
      <c r="X403"/>
    </row>
    <row r="404" spans="1:24" ht="33.75" x14ac:dyDescent="0.2">
      <c r="A404" s="18">
        <v>397</v>
      </c>
      <c r="B404" s="8" t="s">
        <v>438</v>
      </c>
      <c r="C404" s="5" t="s">
        <v>909</v>
      </c>
      <c r="D404" s="13">
        <v>142</v>
      </c>
      <c r="E404" s="7" t="s">
        <v>438</v>
      </c>
      <c r="F404" s="18" t="s">
        <v>26</v>
      </c>
      <c r="G404" s="18">
        <v>2</v>
      </c>
      <c r="H404" s="24">
        <f>30068.75/1.12</f>
        <v>26847.09821428571</v>
      </c>
      <c r="I404" s="23">
        <f t="shared" si="7"/>
        <v>53694.19642857142</v>
      </c>
      <c r="J404" s="12" t="s">
        <v>43</v>
      </c>
      <c r="K404" s="12" t="s">
        <v>41</v>
      </c>
      <c r="L404" s="6"/>
      <c r="M404" s="6"/>
      <c r="N404" s="6"/>
      <c r="O404" s="6"/>
      <c r="P404" s="6"/>
      <c r="Q404" s="6"/>
      <c r="R404" s="6"/>
      <c r="S404" s="6"/>
      <c r="T404" s="6"/>
      <c r="U404"/>
      <c r="V404"/>
      <c r="W404"/>
      <c r="X404"/>
    </row>
    <row r="405" spans="1:24" ht="33.75" x14ac:dyDescent="0.2">
      <c r="A405" s="18">
        <v>398</v>
      </c>
      <c r="B405" s="8" t="s">
        <v>439</v>
      </c>
      <c r="C405" s="5" t="s">
        <v>909</v>
      </c>
      <c r="D405" s="13">
        <v>142</v>
      </c>
      <c r="E405" s="7" t="s">
        <v>439</v>
      </c>
      <c r="F405" s="18" t="s">
        <v>26</v>
      </c>
      <c r="G405" s="18">
        <v>6</v>
      </c>
      <c r="H405" s="24">
        <f>27334.82/1.12</f>
        <v>24406.089285714283</v>
      </c>
      <c r="I405" s="23">
        <f t="shared" si="7"/>
        <v>146436.53571428568</v>
      </c>
      <c r="J405" s="12" t="s">
        <v>43</v>
      </c>
      <c r="K405" s="12" t="s">
        <v>41</v>
      </c>
      <c r="L405" s="6"/>
      <c r="M405" s="6"/>
      <c r="N405" s="6"/>
      <c r="O405" s="6"/>
      <c r="P405" s="6"/>
      <c r="Q405" s="6"/>
      <c r="R405" s="6"/>
      <c r="S405" s="6"/>
      <c r="T405" s="6"/>
      <c r="U405"/>
      <c r="V405"/>
      <c r="W405"/>
      <c r="X405"/>
    </row>
    <row r="406" spans="1:24" ht="33.75" x14ac:dyDescent="0.2">
      <c r="A406" s="18">
        <v>399</v>
      </c>
      <c r="B406" s="8" t="s">
        <v>440</v>
      </c>
      <c r="C406" s="5" t="s">
        <v>909</v>
      </c>
      <c r="D406" s="13">
        <v>142</v>
      </c>
      <c r="E406" s="7" t="s">
        <v>440</v>
      </c>
      <c r="F406" s="18" t="s">
        <v>26</v>
      </c>
      <c r="G406" s="18">
        <v>15</v>
      </c>
      <c r="H406" s="24">
        <f>16400.89/1.12</f>
        <v>14643.651785714284</v>
      </c>
      <c r="I406" s="23">
        <f t="shared" si="7"/>
        <v>219654.77678571426</v>
      </c>
      <c r="J406" s="12" t="s">
        <v>43</v>
      </c>
      <c r="K406" s="12" t="s">
        <v>41</v>
      </c>
      <c r="L406" s="6"/>
      <c r="M406" s="6"/>
      <c r="N406" s="6"/>
      <c r="O406" s="6"/>
      <c r="P406" s="6"/>
      <c r="Q406" s="6"/>
      <c r="R406" s="6"/>
      <c r="S406" s="6"/>
      <c r="T406" s="6"/>
      <c r="U406"/>
      <c r="V406"/>
      <c r="W406"/>
      <c r="X406"/>
    </row>
    <row r="407" spans="1:24" ht="33.75" x14ac:dyDescent="0.2">
      <c r="A407" s="18">
        <v>400</v>
      </c>
      <c r="B407" s="8" t="s">
        <v>441</v>
      </c>
      <c r="C407" s="5" t="s">
        <v>909</v>
      </c>
      <c r="D407" s="13">
        <v>142</v>
      </c>
      <c r="E407" s="7" t="s">
        <v>441</v>
      </c>
      <c r="F407" s="18" t="s">
        <v>26</v>
      </c>
      <c r="G407" s="18">
        <v>15</v>
      </c>
      <c r="H407" s="24">
        <f>14487.5/1.12</f>
        <v>12935.267857142855</v>
      </c>
      <c r="I407" s="23">
        <f t="shared" si="7"/>
        <v>194029.01785714284</v>
      </c>
      <c r="J407" s="12" t="s">
        <v>43</v>
      </c>
      <c r="K407" s="12" t="s">
        <v>41</v>
      </c>
      <c r="L407" s="6"/>
      <c r="M407" s="6"/>
      <c r="N407" s="6"/>
      <c r="O407" s="6"/>
      <c r="P407" s="6"/>
      <c r="Q407" s="6"/>
      <c r="R407" s="6"/>
      <c r="S407" s="6"/>
      <c r="T407" s="6"/>
      <c r="U407"/>
      <c r="V407"/>
      <c r="W407"/>
      <c r="X407"/>
    </row>
    <row r="408" spans="1:24" ht="33.75" x14ac:dyDescent="0.2">
      <c r="A408" s="18">
        <v>401</v>
      </c>
      <c r="B408" s="8" t="s">
        <v>442</v>
      </c>
      <c r="C408" s="5" t="s">
        <v>909</v>
      </c>
      <c r="D408" s="13">
        <v>142</v>
      </c>
      <c r="E408" s="7" t="s">
        <v>442</v>
      </c>
      <c r="F408" s="18" t="s">
        <v>26</v>
      </c>
      <c r="G408" s="18">
        <v>15</v>
      </c>
      <c r="H408" s="24">
        <f>34168.75/1.12</f>
        <v>30507.812499999996</v>
      </c>
      <c r="I408" s="23">
        <f t="shared" si="7"/>
        <v>457617.18749999994</v>
      </c>
      <c r="J408" s="12" t="s">
        <v>43</v>
      </c>
      <c r="K408" s="12" t="s">
        <v>41</v>
      </c>
      <c r="L408" s="6"/>
      <c r="M408" s="6"/>
      <c r="N408" s="6"/>
      <c r="O408" s="6"/>
      <c r="P408" s="6"/>
      <c r="Q408" s="6"/>
      <c r="R408" s="6"/>
      <c r="S408" s="6"/>
      <c r="T408" s="6"/>
      <c r="U408"/>
      <c r="V408"/>
      <c r="W408"/>
      <c r="X408"/>
    </row>
    <row r="409" spans="1:24" ht="33.75" x14ac:dyDescent="0.2">
      <c r="A409" s="18">
        <v>402</v>
      </c>
      <c r="B409" s="8" t="s">
        <v>443</v>
      </c>
      <c r="C409" s="5" t="s">
        <v>909</v>
      </c>
      <c r="D409" s="13">
        <v>142</v>
      </c>
      <c r="E409" s="7" t="s">
        <v>443</v>
      </c>
      <c r="F409" s="18" t="s">
        <v>26</v>
      </c>
      <c r="G409" s="18">
        <v>2</v>
      </c>
      <c r="H409" s="24">
        <f>13667.86/1.12</f>
        <v>12203.446428571428</v>
      </c>
      <c r="I409" s="23">
        <f t="shared" si="7"/>
        <v>24406.892857142855</v>
      </c>
      <c r="J409" s="12" t="s">
        <v>43</v>
      </c>
      <c r="K409" s="12" t="s">
        <v>41</v>
      </c>
      <c r="L409" s="6"/>
      <c r="M409" s="6"/>
      <c r="N409" s="6"/>
      <c r="O409" s="6"/>
      <c r="P409" s="6"/>
      <c r="Q409" s="6"/>
      <c r="R409" s="6"/>
      <c r="S409" s="6"/>
      <c r="T409" s="6"/>
      <c r="U409"/>
      <c r="V409"/>
      <c r="W409"/>
      <c r="X409"/>
    </row>
    <row r="410" spans="1:24" ht="33.75" x14ac:dyDescent="0.2">
      <c r="A410" s="18">
        <v>403</v>
      </c>
      <c r="B410" s="8" t="s">
        <v>444</v>
      </c>
      <c r="C410" s="5" t="s">
        <v>909</v>
      </c>
      <c r="D410" s="13">
        <v>142</v>
      </c>
      <c r="E410" s="7" t="s">
        <v>444</v>
      </c>
      <c r="F410" s="18" t="s">
        <v>26</v>
      </c>
      <c r="G410" s="18">
        <v>2</v>
      </c>
      <c r="H410" s="24">
        <f>9293.75/1.12</f>
        <v>8297.9910714285706</v>
      </c>
      <c r="I410" s="23">
        <f t="shared" si="7"/>
        <v>16595.982142857141</v>
      </c>
      <c r="J410" s="12" t="s">
        <v>43</v>
      </c>
      <c r="K410" s="12" t="s">
        <v>41</v>
      </c>
      <c r="L410" s="6"/>
      <c r="M410" s="6"/>
      <c r="N410" s="6"/>
      <c r="O410" s="6"/>
      <c r="P410" s="6"/>
      <c r="Q410" s="6"/>
      <c r="R410" s="6"/>
      <c r="S410" s="6"/>
      <c r="T410" s="6"/>
      <c r="U410"/>
      <c r="V410"/>
      <c r="W410"/>
      <c r="X410"/>
    </row>
    <row r="411" spans="1:24" ht="33.75" x14ac:dyDescent="0.2">
      <c r="A411" s="18">
        <v>404</v>
      </c>
      <c r="B411" s="8" t="s">
        <v>445</v>
      </c>
      <c r="C411" s="5" t="s">
        <v>909</v>
      </c>
      <c r="D411" s="13">
        <v>142</v>
      </c>
      <c r="E411" s="7" t="s">
        <v>445</v>
      </c>
      <c r="F411" s="18" t="s">
        <v>26</v>
      </c>
      <c r="G411" s="18">
        <v>1</v>
      </c>
      <c r="H411" s="24">
        <f>396355.36/1.12</f>
        <v>353888.71428571426</v>
      </c>
      <c r="I411" s="23">
        <f t="shared" si="7"/>
        <v>353888.71428571426</v>
      </c>
      <c r="J411" s="12" t="s">
        <v>43</v>
      </c>
      <c r="K411" s="12" t="s">
        <v>41</v>
      </c>
      <c r="L411" s="6"/>
      <c r="M411" s="6"/>
      <c r="N411" s="6"/>
      <c r="O411" s="6"/>
      <c r="P411" s="6"/>
      <c r="Q411" s="6"/>
      <c r="R411" s="6"/>
      <c r="S411" s="6"/>
      <c r="T411" s="6"/>
      <c r="U411"/>
      <c r="V411"/>
      <c r="W411"/>
      <c r="X411"/>
    </row>
    <row r="412" spans="1:24" ht="33.75" x14ac:dyDescent="0.2">
      <c r="A412" s="18">
        <v>405</v>
      </c>
      <c r="B412" s="8" t="s">
        <v>446</v>
      </c>
      <c r="C412" s="5" t="s">
        <v>909</v>
      </c>
      <c r="D412" s="13">
        <v>142</v>
      </c>
      <c r="E412" s="7" t="s">
        <v>446</v>
      </c>
      <c r="F412" s="18" t="s">
        <v>26</v>
      </c>
      <c r="G412" s="18">
        <v>2</v>
      </c>
      <c r="H412" s="24">
        <f>35535.71/1.12</f>
        <v>31728.312499999996</v>
      </c>
      <c r="I412" s="23">
        <f t="shared" si="7"/>
        <v>63456.624999999993</v>
      </c>
      <c r="J412" s="12" t="s">
        <v>43</v>
      </c>
      <c r="K412" s="12" t="s">
        <v>41</v>
      </c>
      <c r="L412" s="6"/>
      <c r="M412" s="6"/>
      <c r="N412" s="6"/>
      <c r="O412" s="6"/>
      <c r="P412" s="6"/>
      <c r="Q412" s="6"/>
      <c r="R412" s="6"/>
      <c r="S412" s="6"/>
      <c r="T412" s="6"/>
      <c r="U412"/>
      <c r="V412"/>
      <c r="W412"/>
      <c r="X412"/>
    </row>
    <row r="413" spans="1:24" ht="33.75" x14ac:dyDescent="0.2">
      <c r="A413" s="18">
        <v>406</v>
      </c>
      <c r="B413" s="8" t="s">
        <v>447</v>
      </c>
      <c r="C413" s="5" t="s">
        <v>909</v>
      </c>
      <c r="D413" s="13">
        <v>142</v>
      </c>
      <c r="E413" s="7" t="s">
        <v>447</v>
      </c>
      <c r="F413" s="18" t="s">
        <v>26</v>
      </c>
      <c r="G413" s="18">
        <v>4</v>
      </c>
      <c r="H413" s="24">
        <f>27334.82/1.12</f>
        <v>24406.089285714283</v>
      </c>
      <c r="I413" s="23">
        <f t="shared" si="7"/>
        <v>97624.35714285713</v>
      </c>
      <c r="J413" s="12" t="s">
        <v>43</v>
      </c>
      <c r="K413" s="12" t="s">
        <v>41</v>
      </c>
      <c r="L413" s="6"/>
      <c r="M413" s="6"/>
      <c r="N413" s="6"/>
      <c r="O413" s="6"/>
      <c r="P413" s="6"/>
      <c r="Q413" s="6"/>
      <c r="R413" s="6"/>
      <c r="S413" s="6"/>
      <c r="T413" s="6"/>
      <c r="U413"/>
      <c r="V413"/>
      <c r="W413"/>
      <c r="X413"/>
    </row>
    <row r="414" spans="1:24" ht="33.75" x14ac:dyDescent="0.2">
      <c r="A414" s="18">
        <v>407</v>
      </c>
      <c r="B414" s="8" t="s">
        <v>448</v>
      </c>
      <c r="C414" s="5" t="s">
        <v>909</v>
      </c>
      <c r="D414" s="13">
        <v>142</v>
      </c>
      <c r="E414" s="7" t="s">
        <v>448</v>
      </c>
      <c r="F414" s="18" t="s">
        <v>26</v>
      </c>
      <c r="G414" s="18">
        <v>4</v>
      </c>
      <c r="H414" s="24">
        <f>103872.32/1.12</f>
        <v>92743.142857142855</v>
      </c>
      <c r="I414" s="23">
        <f t="shared" si="7"/>
        <v>370972.57142857142</v>
      </c>
      <c r="J414" s="12" t="s">
        <v>43</v>
      </c>
      <c r="K414" s="12" t="s">
        <v>41</v>
      </c>
      <c r="L414" s="6"/>
      <c r="M414" s="6"/>
      <c r="N414" s="6"/>
      <c r="O414" s="6"/>
      <c r="P414" s="6"/>
      <c r="Q414" s="6"/>
      <c r="R414" s="6"/>
      <c r="S414" s="6"/>
      <c r="T414" s="6"/>
      <c r="U414"/>
      <c r="V414"/>
      <c r="W414"/>
      <c r="X414"/>
    </row>
    <row r="415" spans="1:24" ht="33.75" x14ac:dyDescent="0.2">
      <c r="A415" s="18">
        <v>408</v>
      </c>
      <c r="B415" s="8" t="s">
        <v>449</v>
      </c>
      <c r="C415" s="5" t="s">
        <v>909</v>
      </c>
      <c r="D415" s="13">
        <v>142</v>
      </c>
      <c r="E415" s="7" t="s">
        <v>449</v>
      </c>
      <c r="F415" s="18" t="s">
        <v>26</v>
      </c>
      <c r="G415" s="18">
        <v>1</v>
      </c>
      <c r="H415" s="24">
        <f>35535.71/1.12</f>
        <v>31728.312499999996</v>
      </c>
      <c r="I415" s="23">
        <f t="shared" si="7"/>
        <v>31728.312499999996</v>
      </c>
      <c r="J415" s="12" t="s">
        <v>43</v>
      </c>
      <c r="K415" s="12" t="s">
        <v>41</v>
      </c>
      <c r="L415" s="6"/>
      <c r="M415" s="6"/>
      <c r="N415" s="6"/>
      <c r="O415" s="6"/>
      <c r="P415" s="6"/>
      <c r="Q415" s="6"/>
      <c r="R415" s="6"/>
      <c r="S415" s="6"/>
      <c r="T415" s="6"/>
      <c r="U415"/>
      <c r="V415"/>
      <c r="W415"/>
      <c r="X415"/>
    </row>
    <row r="416" spans="1:24" ht="33.75" x14ac:dyDescent="0.2">
      <c r="A416" s="18">
        <v>409</v>
      </c>
      <c r="B416" s="8" t="s">
        <v>450</v>
      </c>
      <c r="C416" s="5" t="s">
        <v>909</v>
      </c>
      <c r="D416" s="13">
        <v>142</v>
      </c>
      <c r="E416" s="7" t="s">
        <v>450</v>
      </c>
      <c r="F416" s="18" t="s">
        <v>26</v>
      </c>
      <c r="G416" s="18">
        <v>2</v>
      </c>
      <c r="H416" s="24">
        <f>27334.82/1.12</f>
        <v>24406.089285714283</v>
      </c>
      <c r="I416" s="23">
        <f t="shared" si="7"/>
        <v>48812.178571428565</v>
      </c>
      <c r="J416" s="12" t="s">
        <v>43</v>
      </c>
      <c r="K416" s="12" t="s">
        <v>41</v>
      </c>
      <c r="L416" s="6"/>
      <c r="M416" s="6"/>
      <c r="N416" s="6"/>
      <c r="O416" s="6"/>
      <c r="P416" s="6"/>
      <c r="Q416" s="6"/>
      <c r="R416" s="6"/>
      <c r="S416" s="6"/>
      <c r="T416" s="6"/>
      <c r="U416"/>
      <c r="V416"/>
      <c r="W416"/>
      <c r="X416"/>
    </row>
    <row r="417" spans="1:24" ht="33.75" x14ac:dyDescent="0.2">
      <c r="A417" s="18">
        <v>410</v>
      </c>
      <c r="B417" s="8" t="s">
        <v>451</v>
      </c>
      <c r="C417" s="5" t="s">
        <v>909</v>
      </c>
      <c r="D417" s="13">
        <v>142</v>
      </c>
      <c r="E417" s="7" t="s">
        <v>451</v>
      </c>
      <c r="F417" s="18" t="s">
        <v>26</v>
      </c>
      <c r="G417" s="18">
        <v>1</v>
      </c>
      <c r="H417" s="24">
        <f>623233.93/1.12</f>
        <v>556458.86607142852</v>
      </c>
      <c r="I417" s="23">
        <f t="shared" si="7"/>
        <v>556458.86607142852</v>
      </c>
      <c r="J417" s="12" t="s">
        <v>43</v>
      </c>
      <c r="K417" s="12" t="s">
        <v>41</v>
      </c>
      <c r="L417" s="6"/>
      <c r="M417" s="6"/>
      <c r="N417" s="6"/>
      <c r="O417" s="6"/>
      <c r="P417" s="6"/>
      <c r="Q417" s="6"/>
      <c r="R417" s="6"/>
      <c r="S417" s="6"/>
      <c r="T417" s="6"/>
      <c r="U417"/>
      <c r="V417"/>
      <c r="W417"/>
      <c r="X417"/>
    </row>
    <row r="418" spans="1:24" ht="33.75" x14ac:dyDescent="0.2">
      <c r="A418" s="18">
        <v>411</v>
      </c>
      <c r="B418" s="8" t="s">
        <v>452</v>
      </c>
      <c r="C418" s="5" t="s">
        <v>909</v>
      </c>
      <c r="D418" s="13">
        <v>142</v>
      </c>
      <c r="E418" s="7" t="s">
        <v>452</v>
      </c>
      <c r="F418" s="18" t="s">
        <v>26</v>
      </c>
      <c r="G418" s="18">
        <v>1</v>
      </c>
      <c r="H418" s="24">
        <f>35535.71/1.12</f>
        <v>31728.312499999996</v>
      </c>
      <c r="I418" s="23">
        <f t="shared" si="7"/>
        <v>31728.312499999996</v>
      </c>
      <c r="J418" s="12" t="s">
        <v>43</v>
      </c>
      <c r="K418" s="12" t="s">
        <v>41</v>
      </c>
      <c r="L418" s="6"/>
      <c r="M418" s="6"/>
      <c r="N418" s="6"/>
      <c r="O418" s="6"/>
      <c r="P418" s="6"/>
      <c r="Q418" s="6"/>
      <c r="R418" s="6"/>
      <c r="S418" s="6"/>
      <c r="T418" s="6"/>
      <c r="U418"/>
      <c r="V418"/>
      <c r="W418"/>
      <c r="X418"/>
    </row>
    <row r="419" spans="1:24" ht="33.75" x14ac:dyDescent="0.2">
      <c r="A419" s="18">
        <v>412</v>
      </c>
      <c r="B419" s="8" t="s">
        <v>453</v>
      </c>
      <c r="C419" s="5" t="s">
        <v>909</v>
      </c>
      <c r="D419" s="13">
        <v>142</v>
      </c>
      <c r="E419" s="7" t="s">
        <v>453</v>
      </c>
      <c r="F419" s="18" t="s">
        <v>26</v>
      </c>
      <c r="G419" s="18">
        <v>5</v>
      </c>
      <c r="H419" s="24">
        <f>27334.82/1.12</f>
        <v>24406.089285714283</v>
      </c>
      <c r="I419" s="23">
        <f t="shared" si="7"/>
        <v>122030.44642857142</v>
      </c>
      <c r="J419" s="12" t="s">
        <v>43</v>
      </c>
      <c r="K419" s="12" t="s">
        <v>41</v>
      </c>
      <c r="L419" s="6"/>
      <c r="M419" s="6"/>
      <c r="N419" s="6"/>
      <c r="O419" s="6"/>
      <c r="P419" s="6"/>
      <c r="Q419" s="6"/>
      <c r="R419" s="6"/>
      <c r="S419" s="6"/>
      <c r="T419" s="6"/>
      <c r="U419"/>
      <c r="V419"/>
      <c r="W419"/>
      <c r="X419"/>
    </row>
    <row r="420" spans="1:24" ht="33.75" x14ac:dyDescent="0.2">
      <c r="A420" s="18">
        <v>413</v>
      </c>
      <c r="B420" s="8" t="s">
        <v>454</v>
      </c>
      <c r="C420" s="5" t="s">
        <v>909</v>
      </c>
      <c r="D420" s="13">
        <v>142</v>
      </c>
      <c r="E420" s="7" t="s">
        <v>454</v>
      </c>
      <c r="F420" s="18" t="s">
        <v>26</v>
      </c>
      <c r="G420" s="18">
        <v>1</v>
      </c>
      <c r="H420" s="24">
        <f>267881.25/1.12</f>
        <v>239179.68749999997</v>
      </c>
      <c r="I420" s="23">
        <f t="shared" si="7"/>
        <v>239179.68749999997</v>
      </c>
      <c r="J420" s="12" t="s">
        <v>43</v>
      </c>
      <c r="K420" s="12" t="s">
        <v>41</v>
      </c>
      <c r="L420" s="6"/>
      <c r="M420" s="6"/>
      <c r="N420" s="6"/>
      <c r="O420" s="6"/>
      <c r="P420" s="6"/>
      <c r="Q420" s="6"/>
      <c r="R420" s="6"/>
      <c r="S420" s="6"/>
      <c r="T420" s="6"/>
      <c r="U420"/>
      <c r="V420"/>
      <c r="W420"/>
      <c r="X420"/>
    </row>
    <row r="421" spans="1:24" ht="33.75" x14ac:dyDescent="0.2">
      <c r="A421" s="18">
        <v>414</v>
      </c>
      <c r="B421" s="8" t="s">
        <v>455</v>
      </c>
      <c r="C421" s="5" t="s">
        <v>909</v>
      </c>
      <c r="D421" s="13">
        <v>142</v>
      </c>
      <c r="E421" s="7" t="s">
        <v>455</v>
      </c>
      <c r="F421" s="18" t="s">
        <v>26</v>
      </c>
      <c r="G421" s="18">
        <v>2</v>
      </c>
      <c r="H421" s="24">
        <f>35535.71/1.12</f>
        <v>31728.312499999996</v>
      </c>
      <c r="I421" s="23">
        <f t="shared" si="7"/>
        <v>63456.624999999993</v>
      </c>
      <c r="J421" s="12" t="s">
        <v>43</v>
      </c>
      <c r="K421" s="12" t="s">
        <v>41</v>
      </c>
      <c r="L421" s="6"/>
      <c r="M421" s="6"/>
      <c r="N421" s="6"/>
      <c r="O421" s="6"/>
      <c r="P421" s="6"/>
      <c r="Q421" s="6"/>
      <c r="R421" s="6"/>
      <c r="S421" s="6"/>
      <c r="T421" s="6"/>
      <c r="U421"/>
      <c r="V421"/>
      <c r="W421"/>
      <c r="X421"/>
    </row>
    <row r="422" spans="1:24" ht="33.75" x14ac:dyDescent="0.2">
      <c r="A422" s="18">
        <v>415</v>
      </c>
      <c r="B422" s="8" t="s">
        <v>456</v>
      </c>
      <c r="C422" s="5" t="s">
        <v>909</v>
      </c>
      <c r="D422" s="13">
        <v>142</v>
      </c>
      <c r="E422" s="7" t="s">
        <v>456</v>
      </c>
      <c r="F422" s="18" t="s">
        <v>26</v>
      </c>
      <c r="G422" s="18">
        <v>5</v>
      </c>
      <c r="H422" s="24">
        <f>27334.82/1.12</f>
        <v>24406.089285714283</v>
      </c>
      <c r="I422" s="23">
        <f t="shared" si="7"/>
        <v>122030.44642857142</v>
      </c>
      <c r="J422" s="12" t="s">
        <v>43</v>
      </c>
      <c r="K422" s="12" t="s">
        <v>41</v>
      </c>
      <c r="L422" s="6"/>
      <c r="M422" s="6"/>
      <c r="N422" s="6"/>
      <c r="O422" s="6"/>
      <c r="P422" s="6"/>
      <c r="Q422" s="6"/>
      <c r="R422" s="6"/>
      <c r="S422" s="6"/>
      <c r="T422" s="6"/>
      <c r="U422"/>
      <c r="V422"/>
      <c r="W422"/>
      <c r="X422"/>
    </row>
    <row r="423" spans="1:24" ht="33.75" x14ac:dyDescent="0.2">
      <c r="A423" s="18">
        <v>416</v>
      </c>
      <c r="B423" s="8" t="s">
        <v>457</v>
      </c>
      <c r="C423" s="5" t="s">
        <v>909</v>
      </c>
      <c r="D423" s="13">
        <v>142</v>
      </c>
      <c r="E423" s="7" t="s">
        <v>457</v>
      </c>
      <c r="F423" s="18" t="s">
        <v>26</v>
      </c>
      <c r="G423" s="18">
        <v>6</v>
      </c>
      <c r="H423" s="24">
        <f>199270.54/1.12</f>
        <v>177920.125</v>
      </c>
      <c r="I423" s="23">
        <f t="shared" si="7"/>
        <v>1067520.75</v>
      </c>
      <c r="J423" s="12" t="s">
        <v>43</v>
      </c>
      <c r="K423" s="12" t="s">
        <v>41</v>
      </c>
      <c r="L423" s="6"/>
      <c r="M423" s="6"/>
      <c r="N423" s="6"/>
      <c r="O423" s="6"/>
      <c r="P423" s="6"/>
      <c r="Q423" s="6"/>
      <c r="R423" s="6"/>
      <c r="S423" s="6"/>
      <c r="T423" s="6"/>
      <c r="U423"/>
      <c r="V423"/>
      <c r="W423"/>
      <c r="X423"/>
    </row>
    <row r="424" spans="1:24" ht="33.75" x14ac:dyDescent="0.2">
      <c r="A424" s="18">
        <v>417</v>
      </c>
      <c r="B424" s="8" t="s">
        <v>458</v>
      </c>
      <c r="C424" s="5" t="s">
        <v>909</v>
      </c>
      <c r="D424" s="13">
        <v>142</v>
      </c>
      <c r="E424" s="7" t="s">
        <v>458</v>
      </c>
      <c r="F424" s="18" t="s">
        <v>26</v>
      </c>
      <c r="G424" s="18">
        <v>2</v>
      </c>
      <c r="H424" s="24">
        <f>35535.71/1.12</f>
        <v>31728.312499999996</v>
      </c>
      <c r="I424" s="23">
        <f t="shared" si="7"/>
        <v>63456.624999999993</v>
      </c>
      <c r="J424" s="12" t="s">
        <v>43</v>
      </c>
      <c r="K424" s="12" t="s">
        <v>41</v>
      </c>
      <c r="L424" s="6"/>
      <c r="M424" s="6"/>
      <c r="N424" s="6"/>
      <c r="O424" s="6"/>
      <c r="P424" s="6"/>
      <c r="Q424" s="6"/>
      <c r="R424" s="6"/>
      <c r="S424" s="6"/>
      <c r="T424" s="6"/>
      <c r="U424"/>
      <c r="V424"/>
      <c r="W424"/>
      <c r="X424"/>
    </row>
    <row r="425" spans="1:24" ht="33.75" x14ac:dyDescent="0.2">
      <c r="A425" s="18">
        <v>418</v>
      </c>
      <c r="B425" s="8" t="s">
        <v>459</v>
      </c>
      <c r="C425" s="5" t="s">
        <v>909</v>
      </c>
      <c r="D425" s="13">
        <v>142</v>
      </c>
      <c r="E425" s="7" t="s">
        <v>459</v>
      </c>
      <c r="F425" s="18" t="s">
        <v>26</v>
      </c>
      <c r="G425" s="18">
        <v>6</v>
      </c>
      <c r="H425" s="24">
        <f>27334.82/1.12</f>
        <v>24406.089285714283</v>
      </c>
      <c r="I425" s="23">
        <f t="shared" si="7"/>
        <v>146436.53571428568</v>
      </c>
      <c r="J425" s="12" t="s">
        <v>43</v>
      </c>
      <c r="K425" s="12" t="s">
        <v>41</v>
      </c>
      <c r="L425" s="6"/>
      <c r="M425" s="6"/>
      <c r="N425" s="6"/>
      <c r="O425" s="6"/>
      <c r="P425" s="6"/>
      <c r="Q425" s="6"/>
      <c r="R425" s="6"/>
      <c r="S425" s="6"/>
      <c r="T425" s="6"/>
      <c r="U425"/>
      <c r="V425"/>
      <c r="W425"/>
      <c r="X425"/>
    </row>
    <row r="426" spans="1:24" ht="33.75" x14ac:dyDescent="0.2">
      <c r="A426" s="18">
        <v>419</v>
      </c>
      <c r="B426" s="8" t="s">
        <v>460</v>
      </c>
      <c r="C426" s="5" t="s">
        <v>909</v>
      </c>
      <c r="D426" s="13">
        <v>142</v>
      </c>
      <c r="E426" s="7" t="s">
        <v>460</v>
      </c>
      <c r="F426" s="18" t="s">
        <v>26</v>
      </c>
      <c r="G426" s="18">
        <v>4</v>
      </c>
      <c r="H426" s="24">
        <f>131207.14/1.12</f>
        <v>117149.23214285714</v>
      </c>
      <c r="I426" s="23">
        <f t="shared" si="7"/>
        <v>468596.92857142858</v>
      </c>
      <c r="J426" s="12" t="s">
        <v>43</v>
      </c>
      <c r="K426" s="12" t="s">
        <v>41</v>
      </c>
      <c r="L426" s="6"/>
      <c r="M426" s="6"/>
      <c r="N426" s="6"/>
      <c r="O426" s="6"/>
      <c r="P426" s="6"/>
      <c r="Q426" s="6"/>
      <c r="R426" s="6"/>
      <c r="S426" s="6"/>
      <c r="T426" s="6"/>
      <c r="U426"/>
      <c r="V426"/>
      <c r="W426"/>
      <c r="X426"/>
    </row>
    <row r="427" spans="1:24" ht="33.75" x14ac:dyDescent="0.2">
      <c r="A427" s="18">
        <v>420</v>
      </c>
      <c r="B427" s="8" t="s">
        <v>461</v>
      </c>
      <c r="C427" s="5" t="s">
        <v>909</v>
      </c>
      <c r="D427" s="13">
        <v>142</v>
      </c>
      <c r="E427" s="7" t="s">
        <v>461</v>
      </c>
      <c r="F427" s="18" t="s">
        <v>26</v>
      </c>
      <c r="G427" s="18">
        <v>1</v>
      </c>
      <c r="H427" s="24">
        <f>35535.71/1.12</f>
        <v>31728.312499999996</v>
      </c>
      <c r="I427" s="23">
        <f t="shared" si="7"/>
        <v>31728.312499999996</v>
      </c>
      <c r="J427" s="12" t="s">
        <v>43</v>
      </c>
      <c r="K427" s="12" t="s">
        <v>41</v>
      </c>
      <c r="L427" s="6"/>
      <c r="M427" s="6"/>
      <c r="N427" s="6"/>
      <c r="O427" s="6"/>
      <c r="P427" s="6"/>
      <c r="Q427" s="6"/>
      <c r="R427" s="6"/>
      <c r="S427" s="6"/>
      <c r="T427" s="6"/>
      <c r="U427"/>
      <c r="V427"/>
      <c r="W427"/>
      <c r="X427"/>
    </row>
    <row r="428" spans="1:24" ht="33.75" x14ac:dyDescent="0.2">
      <c r="A428" s="18">
        <v>421</v>
      </c>
      <c r="B428" s="8" t="s">
        <v>462</v>
      </c>
      <c r="C428" s="5" t="s">
        <v>909</v>
      </c>
      <c r="D428" s="13">
        <v>142</v>
      </c>
      <c r="E428" s="7" t="s">
        <v>462</v>
      </c>
      <c r="F428" s="18" t="s">
        <v>26</v>
      </c>
      <c r="G428" s="18">
        <v>4</v>
      </c>
      <c r="H428" s="24">
        <f>27334.82/1.12</f>
        <v>24406.089285714283</v>
      </c>
      <c r="I428" s="23">
        <f t="shared" si="7"/>
        <v>97624.35714285713</v>
      </c>
      <c r="J428" s="12" t="s">
        <v>43</v>
      </c>
      <c r="K428" s="12" t="s">
        <v>41</v>
      </c>
      <c r="L428" s="6"/>
      <c r="M428" s="6"/>
      <c r="N428" s="6"/>
      <c r="O428" s="6"/>
      <c r="P428" s="6"/>
      <c r="Q428" s="6"/>
      <c r="R428" s="6"/>
      <c r="S428" s="6"/>
      <c r="T428" s="6"/>
      <c r="U428"/>
      <c r="V428"/>
      <c r="W428"/>
      <c r="X428"/>
    </row>
    <row r="429" spans="1:24" ht="33.75" x14ac:dyDescent="0.2">
      <c r="A429" s="18">
        <v>422</v>
      </c>
      <c r="B429" s="8" t="s">
        <v>463</v>
      </c>
      <c r="C429" s="5" t="s">
        <v>909</v>
      </c>
      <c r="D429" s="13">
        <v>142</v>
      </c>
      <c r="E429" s="7" t="s">
        <v>463</v>
      </c>
      <c r="F429" s="18" t="s">
        <v>26</v>
      </c>
      <c r="G429" s="18">
        <v>5</v>
      </c>
      <c r="H429" s="24">
        <f>15033.93/1.12</f>
        <v>13423.151785714284</v>
      </c>
      <c r="I429" s="23">
        <f t="shared" si="7"/>
        <v>67115.75892857142</v>
      </c>
      <c r="J429" s="12" t="s">
        <v>43</v>
      </c>
      <c r="K429" s="12" t="s">
        <v>41</v>
      </c>
      <c r="L429" s="6"/>
      <c r="M429" s="6"/>
      <c r="N429" s="6"/>
      <c r="O429" s="6"/>
      <c r="P429" s="6"/>
      <c r="Q429" s="6"/>
      <c r="R429" s="6"/>
      <c r="S429" s="6"/>
      <c r="T429" s="6"/>
      <c r="U429"/>
      <c r="V429"/>
      <c r="W429"/>
      <c r="X429"/>
    </row>
    <row r="430" spans="1:24" ht="33.75" x14ac:dyDescent="0.2">
      <c r="A430" s="18">
        <v>423</v>
      </c>
      <c r="B430" s="8" t="s">
        <v>464</v>
      </c>
      <c r="C430" s="5" t="s">
        <v>909</v>
      </c>
      <c r="D430" s="13">
        <v>142</v>
      </c>
      <c r="E430" s="7" t="s">
        <v>464</v>
      </c>
      <c r="F430" s="18" t="s">
        <v>26</v>
      </c>
      <c r="G430" s="18">
        <v>2</v>
      </c>
      <c r="H430" s="24">
        <f>87471.43/1.12</f>
        <v>78099.491071428551</v>
      </c>
      <c r="I430" s="23">
        <f t="shared" si="7"/>
        <v>156198.9821428571</v>
      </c>
      <c r="J430" s="12" t="s">
        <v>43</v>
      </c>
      <c r="K430" s="12" t="s">
        <v>41</v>
      </c>
      <c r="L430" s="6"/>
      <c r="M430" s="6"/>
      <c r="N430" s="6"/>
      <c r="O430" s="6"/>
      <c r="P430" s="6"/>
      <c r="Q430" s="6"/>
      <c r="R430" s="6"/>
      <c r="S430" s="6"/>
      <c r="T430" s="6"/>
      <c r="U430"/>
      <c r="V430"/>
      <c r="W430"/>
      <c r="X430"/>
    </row>
    <row r="431" spans="1:24" ht="67.5" x14ac:dyDescent="0.2">
      <c r="A431" s="18">
        <v>424</v>
      </c>
      <c r="B431" s="21" t="s">
        <v>926</v>
      </c>
      <c r="C431" s="5" t="s">
        <v>909</v>
      </c>
      <c r="D431" s="13">
        <v>142</v>
      </c>
      <c r="E431" s="22" t="s">
        <v>926</v>
      </c>
      <c r="F431" s="18" t="s">
        <v>51</v>
      </c>
      <c r="G431" s="18">
        <v>3</v>
      </c>
      <c r="H431" s="24">
        <v>17678.57</v>
      </c>
      <c r="I431" s="23">
        <f t="shared" si="7"/>
        <v>53035.71</v>
      </c>
      <c r="J431" s="12" t="s">
        <v>43</v>
      </c>
      <c r="K431" s="12" t="s">
        <v>41</v>
      </c>
      <c r="L431" s="6"/>
      <c r="M431" s="6"/>
      <c r="N431" s="6"/>
      <c r="O431" s="6"/>
      <c r="P431" s="6"/>
      <c r="Q431" s="6"/>
      <c r="R431" s="6"/>
      <c r="S431" s="6"/>
      <c r="T431" s="6"/>
      <c r="U431"/>
      <c r="V431"/>
      <c r="W431"/>
      <c r="X431"/>
    </row>
    <row r="432" spans="1:24" ht="67.5" x14ac:dyDescent="0.2">
      <c r="A432" s="18">
        <v>425</v>
      </c>
      <c r="B432" s="21" t="s">
        <v>925</v>
      </c>
      <c r="C432" s="5" t="s">
        <v>909</v>
      </c>
      <c r="D432" s="13">
        <v>142</v>
      </c>
      <c r="E432" s="22" t="s">
        <v>925</v>
      </c>
      <c r="F432" s="18" t="s">
        <v>51</v>
      </c>
      <c r="G432" s="18">
        <v>3</v>
      </c>
      <c r="H432" s="24">
        <v>20183.03</v>
      </c>
      <c r="I432" s="23">
        <f t="shared" si="7"/>
        <v>60549.09</v>
      </c>
      <c r="J432" s="12" t="s">
        <v>43</v>
      </c>
      <c r="K432" s="12" t="s">
        <v>41</v>
      </c>
      <c r="L432" s="6"/>
      <c r="M432" s="6"/>
      <c r="N432" s="6"/>
      <c r="O432" s="6"/>
      <c r="P432" s="6"/>
      <c r="Q432" s="6"/>
      <c r="R432" s="6"/>
      <c r="S432" s="6"/>
      <c r="T432" s="6"/>
      <c r="U432"/>
      <c r="V432"/>
      <c r="W432"/>
      <c r="X432"/>
    </row>
    <row r="433" spans="1:24" ht="56.25" x14ac:dyDescent="0.2">
      <c r="A433" s="18">
        <v>426</v>
      </c>
      <c r="B433" s="21" t="s">
        <v>465</v>
      </c>
      <c r="C433" s="5" t="s">
        <v>909</v>
      </c>
      <c r="D433" s="13">
        <v>142</v>
      </c>
      <c r="E433" s="22" t="s">
        <v>927</v>
      </c>
      <c r="F433" s="18" t="s">
        <v>51</v>
      </c>
      <c r="G433" s="18">
        <v>3</v>
      </c>
      <c r="H433" s="24">
        <v>17678.57</v>
      </c>
      <c r="I433" s="23">
        <f t="shared" si="7"/>
        <v>53035.71</v>
      </c>
      <c r="J433" s="12" t="s">
        <v>43</v>
      </c>
      <c r="K433" s="12" t="s">
        <v>41</v>
      </c>
      <c r="L433" s="6"/>
      <c r="M433" s="6"/>
      <c r="N433" s="6"/>
      <c r="O433" s="6"/>
      <c r="P433" s="6"/>
      <c r="Q433" s="6"/>
      <c r="R433" s="6"/>
      <c r="S433" s="6"/>
      <c r="T433" s="6"/>
      <c r="U433"/>
      <c r="V433"/>
      <c r="W433"/>
      <c r="X433"/>
    </row>
    <row r="434" spans="1:24" ht="67.5" x14ac:dyDescent="0.2">
      <c r="A434" s="18">
        <v>427</v>
      </c>
      <c r="B434" s="21" t="s">
        <v>466</v>
      </c>
      <c r="C434" s="5" t="s">
        <v>909</v>
      </c>
      <c r="D434" s="13">
        <v>142</v>
      </c>
      <c r="E434" s="22" t="s">
        <v>928</v>
      </c>
      <c r="F434" s="18" t="s">
        <v>51</v>
      </c>
      <c r="G434" s="18">
        <v>3</v>
      </c>
      <c r="H434" s="24">
        <v>18415.169999999998</v>
      </c>
      <c r="I434" s="23">
        <f t="shared" si="7"/>
        <v>55245.509999999995</v>
      </c>
      <c r="J434" s="12" t="s">
        <v>43</v>
      </c>
      <c r="K434" s="12" t="s">
        <v>41</v>
      </c>
      <c r="L434" s="6"/>
      <c r="M434" s="6"/>
      <c r="N434" s="6"/>
      <c r="O434" s="6"/>
      <c r="P434" s="6"/>
      <c r="Q434" s="6"/>
      <c r="R434" s="6"/>
      <c r="S434" s="6"/>
      <c r="T434" s="6"/>
      <c r="U434"/>
      <c r="V434"/>
      <c r="W434"/>
      <c r="X434"/>
    </row>
    <row r="435" spans="1:24" ht="67.5" x14ac:dyDescent="0.2">
      <c r="A435" s="18">
        <v>428</v>
      </c>
      <c r="B435" s="21" t="s">
        <v>467</v>
      </c>
      <c r="C435" s="5" t="s">
        <v>909</v>
      </c>
      <c r="D435" s="13">
        <v>142</v>
      </c>
      <c r="E435" s="22" t="s">
        <v>467</v>
      </c>
      <c r="F435" s="18" t="s">
        <v>51</v>
      </c>
      <c r="G435" s="18">
        <v>4</v>
      </c>
      <c r="H435" s="24">
        <v>18709.82</v>
      </c>
      <c r="I435" s="23">
        <f t="shared" si="7"/>
        <v>74839.28</v>
      </c>
      <c r="J435" s="12" t="s">
        <v>43</v>
      </c>
      <c r="K435" s="12" t="s">
        <v>41</v>
      </c>
      <c r="L435" s="6"/>
      <c r="M435" s="6"/>
      <c r="N435" s="6"/>
      <c r="O435" s="6"/>
      <c r="P435" s="6"/>
      <c r="Q435" s="6"/>
      <c r="R435" s="6"/>
      <c r="S435" s="6"/>
      <c r="T435" s="6"/>
      <c r="U435"/>
      <c r="V435"/>
      <c r="W435"/>
      <c r="X435"/>
    </row>
    <row r="436" spans="1:24" ht="56.25" x14ac:dyDescent="0.2">
      <c r="A436" s="18">
        <v>429</v>
      </c>
      <c r="B436" s="21" t="s">
        <v>468</v>
      </c>
      <c r="C436" s="5" t="s">
        <v>909</v>
      </c>
      <c r="D436" s="13">
        <v>142</v>
      </c>
      <c r="E436" s="22" t="s">
        <v>468</v>
      </c>
      <c r="F436" s="18" t="s">
        <v>51</v>
      </c>
      <c r="G436" s="18">
        <v>4</v>
      </c>
      <c r="H436" s="24">
        <v>17678.57</v>
      </c>
      <c r="I436" s="23">
        <f t="shared" si="7"/>
        <v>70714.28</v>
      </c>
      <c r="J436" s="12" t="s">
        <v>43</v>
      </c>
      <c r="K436" s="12" t="s">
        <v>41</v>
      </c>
      <c r="L436" s="6"/>
      <c r="M436" s="6"/>
      <c r="N436" s="6"/>
      <c r="O436" s="6"/>
      <c r="P436" s="6"/>
      <c r="Q436" s="6"/>
      <c r="R436" s="6"/>
      <c r="S436" s="6"/>
      <c r="T436" s="6"/>
      <c r="U436"/>
      <c r="V436"/>
      <c r="W436"/>
      <c r="X436"/>
    </row>
    <row r="437" spans="1:24" ht="67.5" x14ac:dyDescent="0.2">
      <c r="A437" s="18">
        <v>430</v>
      </c>
      <c r="B437" s="21" t="s">
        <v>469</v>
      </c>
      <c r="C437" s="5" t="s">
        <v>909</v>
      </c>
      <c r="D437" s="13">
        <v>142</v>
      </c>
      <c r="E437" s="22" t="s">
        <v>469</v>
      </c>
      <c r="F437" s="18" t="s">
        <v>51</v>
      </c>
      <c r="G437" s="18">
        <v>4</v>
      </c>
      <c r="H437" s="24">
        <v>20625</v>
      </c>
      <c r="I437" s="23">
        <f t="shared" si="7"/>
        <v>82500</v>
      </c>
      <c r="J437" s="12" t="s">
        <v>43</v>
      </c>
      <c r="K437" s="12" t="s">
        <v>41</v>
      </c>
      <c r="L437" s="6"/>
      <c r="M437" s="6"/>
      <c r="N437" s="6"/>
      <c r="O437" s="6"/>
      <c r="P437" s="6"/>
      <c r="Q437" s="6"/>
      <c r="R437" s="6"/>
      <c r="S437" s="6"/>
      <c r="T437" s="6"/>
      <c r="U437"/>
      <c r="V437"/>
      <c r="W437"/>
      <c r="X437"/>
    </row>
    <row r="438" spans="1:24" ht="33.75" x14ac:dyDescent="0.2">
      <c r="A438" s="18">
        <v>431</v>
      </c>
      <c r="B438" s="21" t="s">
        <v>470</v>
      </c>
      <c r="C438" s="5" t="s">
        <v>909</v>
      </c>
      <c r="D438" s="13">
        <v>142</v>
      </c>
      <c r="E438" s="22" t="s">
        <v>470</v>
      </c>
      <c r="F438" s="18" t="s">
        <v>51</v>
      </c>
      <c r="G438" s="18">
        <v>4</v>
      </c>
      <c r="H438" s="24">
        <v>15625</v>
      </c>
      <c r="I438" s="23">
        <f t="shared" si="7"/>
        <v>62500</v>
      </c>
      <c r="J438" s="12" t="s">
        <v>43</v>
      </c>
      <c r="K438" s="12" t="s">
        <v>41</v>
      </c>
      <c r="L438" s="6"/>
      <c r="M438" s="6"/>
      <c r="N438" s="6"/>
      <c r="O438" s="6"/>
      <c r="P438" s="6"/>
      <c r="Q438" s="6"/>
      <c r="R438" s="6"/>
      <c r="S438" s="6"/>
      <c r="T438" s="6"/>
      <c r="U438"/>
      <c r="V438"/>
      <c r="W438"/>
      <c r="X438"/>
    </row>
    <row r="439" spans="1:24" ht="33.75" x14ac:dyDescent="0.2">
      <c r="A439" s="18">
        <v>432</v>
      </c>
      <c r="B439" s="21" t="s">
        <v>471</v>
      </c>
      <c r="C439" s="5" t="s">
        <v>909</v>
      </c>
      <c r="D439" s="13">
        <v>142</v>
      </c>
      <c r="E439" s="22" t="s">
        <v>471</v>
      </c>
      <c r="F439" s="18" t="s">
        <v>51</v>
      </c>
      <c r="G439" s="18">
        <v>4</v>
      </c>
      <c r="H439" s="24">
        <v>15625</v>
      </c>
      <c r="I439" s="23">
        <f t="shared" si="7"/>
        <v>62500</v>
      </c>
      <c r="J439" s="12" t="s">
        <v>43</v>
      </c>
      <c r="K439" s="12" t="s">
        <v>41</v>
      </c>
      <c r="L439" s="6"/>
      <c r="M439" s="6"/>
      <c r="N439" s="6"/>
      <c r="O439" s="6"/>
      <c r="P439" s="6"/>
      <c r="Q439" s="6"/>
      <c r="R439" s="6"/>
      <c r="S439" s="6"/>
      <c r="T439" s="6"/>
      <c r="U439"/>
      <c r="V439"/>
      <c r="W439"/>
      <c r="X439"/>
    </row>
    <row r="440" spans="1:24" ht="33.75" x14ac:dyDescent="0.2">
      <c r="A440" s="18">
        <v>433</v>
      </c>
      <c r="B440" s="8" t="s">
        <v>166</v>
      </c>
      <c r="C440" s="5" t="s">
        <v>909</v>
      </c>
      <c r="D440" s="13">
        <v>142</v>
      </c>
      <c r="E440" s="7" t="s">
        <v>166</v>
      </c>
      <c r="F440" s="18" t="s">
        <v>44</v>
      </c>
      <c r="G440" s="18">
        <v>17</v>
      </c>
      <c r="H440" s="24">
        <v>201590.01</v>
      </c>
      <c r="I440" s="23">
        <f t="shared" si="7"/>
        <v>3427030.17</v>
      </c>
      <c r="J440" s="12" t="s">
        <v>43</v>
      </c>
      <c r="K440" s="12" t="s">
        <v>41</v>
      </c>
      <c r="L440" s="6"/>
      <c r="M440" s="6"/>
      <c r="N440" s="6"/>
      <c r="O440" s="6"/>
      <c r="P440" s="6"/>
      <c r="Q440" s="6"/>
      <c r="R440" s="6"/>
      <c r="S440" s="6"/>
      <c r="T440" s="6"/>
      <c r="U440"/>
      <c r="V440"/>
      <c r="W440"/>
      <c r="X440"/>
    </row>
    <row r="441" spans="1:24" ht="33.75" x14ac:dyDescent="0.2">
      <c r="A441" s="18">
        <v>434</v>
      </c>
      <c r="B441" s="8" t="s">
        <v>167</v>
      </c>
      <c r="C441" s="5" t="s">
        <v>909</v>
      </c>
      <c r="D441" s="13">
        <v>142</v>
      </c>
      <c r="E441" s="7" t="s">
        <v>167</v>
      </c>
      <c r="F441" s="18" t="s">
        <v>26</v>
      </c>
      <c r="G441" s="18">
        <v>2</v>
      </c>
      <c r="H441" s="24">
        <v>51523.21</v>
      </c>
      <c r="I441" s="23">
        <f t="shared" si="7"/>
        <v>103046.42</v>
      </c>
      <c r="J441" s="12" t="s">
        <v>43</v>
      </c>
      <c r="K441" s="12" t="s">
        <v>41</v>
      </c>
      <c r="L441" s="6"/>
      <c r="M441" s="6"/>
      <c r="N441" s="6"/>
      <c r="O441" s="6"/>
      <c r="P441" s="6"/>
      <c r="Q441" s="6"/>
      <c r="R441" s="6"/>
      <c r="S441" s="6"/>
      <c r="T441" s="6"/>
      <c r="U441"/>
      <c r="V441"/>
      <c r="W441"/>
      <c r="X441"/>
    </row>
    <row r="442" spans="1:24" ht="33.75" x14ac:dyDescent="0.2">
      <c r="A442" s="18">
        <v>435</v>
      </c>
      <c r="B442" s="8" t="s">
        <v>168</v>
      </c>
      <c r="C442" s="5" t="s">
        <v>909</v>
      </c>
      <c r="D442" s="13">
        <v>142</v>
      </c>
      <c r="E442" s="7" t="s">
        <v>168</v>
      </c>
      <c r="F442" s="18" t="s">
        <v>26</v>
      </c>
      <c r="G442" s="18">
        <v>2</v>
      </c>
      <c r="H442" s="24">
        <v>51523.21</v>
      </c>
      <c r="I442" s="23">
        <f t="shared" si="7"/>
        <v>103046.42</v>
      </c>
      <c r="J442" s="12" t="s">
        <v>43</v>
      </c>
      <c r="K442" s="12" t="s">
        <v>41</v>
      </c>
      <c r="L442" s="6"/>
      <c r="M442" s="6"/>
      <c r="N442" s="6"/>
      <c r="O442" s="6"/>
      <c r="P442" s="6"/>
      <c r="Q442" s="6"/>
      <c r="R442" s="6"/>
      <c r="S442" s="6"/>
      <c r="T442" s="6"/>
      <c r="U442"/>
      <c r="V442"/>
      <c r="W442"/>
      <c r="X442"/>
    </row>
    <row r="443" spans="1:24" ht="33.75" x14ac:dyDescent="0.2">
      <c r="A443" s="18">
        <v>436</v>
      </c>
      <c r="B443" s="8" t="s">
        <v>169</v>
      </c>
      <c r="C443" s="5" t="s">
        <v>909</v>
      </c>
      <c r="D443" s="13">
        <v>142</v>
      </c>
      <c r="E443" s="7" t="s">
        <v>169</v>
      </c>
      <c r="F443" s="18" t="s">
        <v>26</v>
      </c>
      <c r="G443" s="18">
        <v>2</v>
      </c>
      <c r="H443" s="24">
        <v>51523.21</v>
      </c>
      <c r="I443" s="23">
        <f t="shared" si="7"/>
        <v>103046.42</v>
      </c>
      <c r="J443" s="12" t="s">
        <v>43</v>
      </c>
      <c r="K443" s="12" t="s">
        <v>41</v>
      </c>
      <c r="L443" s="6"/>
      <c r="M443" s="6"/>
      <c r="N443" s="6"/>
      <c r="O443" s="6"/>
      <c r="P443" s="6"/>
      <c r="Q443" s="6"/>
      <c r="R443" s="6"/>
      <c r="S443" s="6"/>
      <c r="T443" s="6"/>
      <c r="U443"/>
      <c r="V443"/>
      <c r="W443"/>
      <c r="X443"/>
    </row>
    <row r="444" spans="1:24" ht="33.75" x14ac:dyDescent="0.2">
      <c r="A444" s="18">
        <v>437</v>
      </c>
      <c r="B444" s="8" t="s">
        <v>910</v>
      </c>
      <c r="C444" s="5" t="s">
        <v>909</v>
      </c>
      <c r="D444" s="13">
        <v>142</v>
      </c>
      <c r="E444" s="7" t="s">
        <v>910</v>
      </c>
      <c r="F444" s="18" t="s">
        <v>51</v>
      </c>
      <c r="G444" s="18">
        <v>2</v>
      </c>
      <c r="H444" s="24">
        <v>34821.42</v>
      </c>
      <c r="I444" s="23">
        <f t="shared" si="7"/>
        <v>69642.84</v>
      </c>
      <c r="J444" s="12" t="s">
        <v>43</v>
      </c>
      <c r="K444" s="12" t="s">
        <v>41</v>
      </c>
      <c r="L444" s="6"/>
      <c r="M444" s="6"/>
      <c r="N444" s="6"/>
      <c r="O444" s="6"/>
      <c r="P444" s="6"/>
      <c r="Q444" s="6"/>
      <c r="R444" s="6"/>
      <c r="S444" s="6"/>
      <c r="T444" s="6"/>
      <c r="U444"/>
      <c r="V444"/>
      <c r="W444"/>
      <c r="X444"/>
    </row>
    <row r="445" spans="1:24" ht="33.75" x14ac:dyDescent="0.2">
      <c r="A445" s="18">
        <v>438</v>
      </c>
      <c r="B445" s="8" t="s">
        <v>170</v>
      </c>
      <c r="C445" s="5" t="s">
        <v>909</v>
      </c>
      <c r="D445" s="13">
        <v>142</v>
      </c>
      <c r="E445" s="7" t="s">
        <v>170</v>
      </c>
      <c r="F445" s="5" t="s">
        <v>26</v>
      </c>
      <c r="G445" s="5">
        <v>50</v>
      </c>
      <c r="H445" s="25">
        <v>3660.71</v>
      </c>
      <c r="I445" s="23">
        <f t="shared" si="7"/>
        <v>183035.5</v>
      </c>
      <c r="J445" s="12" t="s">
        <v>43</v>
      </c>
      <c r="K445" s="12" t="s">
        <v>41</v>
      </c>
      <c r="L445" s="6"/>
      <c r="M445" s="6"/>
      <c r="N445" s="6"/>
      <c r="O445" s="6"/>
      <c r="P445" s="6"/>
      <c r="Q445" s="6"/>
      <c r="R445" s="6"/>
      <c r="S445" s="6"/>
      <c r="T445" s="6"/>
      <c r="U445"/>
      <c r="V445"/>
      <c r="W445"/>
      <c r="X445"/>
    </row>
    <row r="446" spans="1:24" ht="33.75" x14ac:dyDescent="0.2">
      <c r="A446" s="18">
        <v>439</v>
      </c>
      <c r="B446" s="8" t="s">
        <v>472</v>
      </c>
      <c r="C446" s="5" t="s">
        <v>909</v>
      </c>
      <c r="D446" s="13">
        <v>142</v>
      </c>
      <c r="E446" s="7" t="s">
        <v>929</v>
      </c>
      <c r="F446" s="18" t="s">
        <v>50</v>
      </c>
      <c r="G446" s="18">
        <v>10</v>
      </c>
      <c r="H446" s="24">
        <v>31479.46</v>
      </c>
      <c r="I446" s="23">
        <f t="shared" si="7"/>
        <v>314794.59999999998</v>
      </c>
      <c r="J446" s="12" t="s">
        <v>43</v>
      </c>
      <c r="K446" s="12" t="s">
        <v>41</v>
      </c>
      <c r="L446" s="6"/>
      <c r="M446" s="6"/>
      <c r="N446" s="6"/>
      <c r="O446" s="6"/>
      <c r="P446" s="6"/>
      <c r="Q446" s="6"/>
      <c r="R446" s="6"/>
      <c r="S446" s="6"/>
      <c r="T446" s="6"/>
      <c r="U446"/>
      <c r="V446"/>
      <c r="W446"/>
      <c r="X446"/>
    </row>
    <row r="447" spans="1:24" ht="33.75" x14ac:dyDescent="0.2">
      <c r="A447" s="18">
        <v>440</v>
      </c>
      <c r="B447" s="8" t="s">
        <v>171</v>
      </c>
      <c r="C447" s="5" t="s">
        <v>909</v>
      </c>
      <c r="D447" s="13">
        <v>142</v>
      </c>
      <c r="E447" s="7" t="s">
        <v>171</v>
      </c>
      <c r="F447" s="5" t="s">
        <v>26</v>
      </c>
      <c r="G447" s="5">
        <v>65</v>
      </c>
      <c r="H447" s="24">
        <v>5089.28</v>
      </c>
      <c r="I447" s="23">
        <f t="shared" si="7"/>
        <v>330803.20000000001</v>
      </c>
      <c r="J447" s="12" t="s">
        <v>43</v>
      </c>
      <c r="K447" s="12" t="s">
        <v>41</v>
      </c>
      <c r="L447" s="6"/>
      <c r="M447" s="6"/>
      <c r="N447" s="6"/>
      <c r="O447" s="6"/>
      <c r="P447" s="6"/>
      <c r="Q447" s="6"/>
      <c r="R447" s="6"/>
      <c r="S447" s="6"/>
      <c r="T447" s="6"/>
      <c r="U447"/>
      <c r="V447"/>
      <c r="W447"/>
      <c r="X447"/>
    </row>
    <row r="448" spans="1:24" ht="33.75" x14ac:dyDescent="0.2">
      <c r="A448" s="18">
        <v>441</v>
      </c>
      <c r="B448" s="8" t="s">
        <v>172</v>
      </c>
      <c r="C448" s="5" t="s">
        <v>909</v>
      </c>
      <c r="D448" s="13">
        <v>142</v>
      </c>
      <c r="E448" s="7" t="s">
        <v>172</v>
      </c>
      <c r="F448" s="5" t="s">
        <v>26</v>
      </c>
      <c r="G448" s="5">
        <v>3</v>
      </c>
      <c r="H448" s="24">
        <v>9528.57</v>
      </c>
      <c r="I448" s="23">
        <f t="shared" si="7"/>
        <v>28585.71</v>
      </c>
      <c r="J448" s="12" t="s">
        <v>43</v>
      </c>
      <c r="K448" s="12" t="s">
        <v>41</v>
      </c>
      <c r="L448" s="6"/>
      <c r="M448" s="6"/>
      <c r="N448" s="6"/>
      <c r="O448" s="6"/>
      <c r="P448" s="6"/>
      <c r="Q448" s="6"/>
      <c r="R448" s="6"/>
      <c r="S448" s="6"/>
      <c r="T448" s="6"/>
      <c r="U448"/>
      <c r="V448"/>
      <c r="W448"/>
      <c r="X448"/>
    </row>
    <row r="449" spans="1:24" ht="33.75" x14ac:dyDescent="0.2">
      <c r="A449" s="18">
        <v>442</v>
      </c>
      <c r="B449" s="8" t="s">
        <v>473</v>
      </c>
      <c r="C449" s="5" t="s">
        <v>909</v>
      </c>
      <c r="D449" s="13">
        <v>142</v>
      </c>
      <c r="E449" s="8" t="s">
        <v>473</v>
      </c>
      <c r="F449" s="5" t="s">
        <v>42</v>
      </c>
      <c r="G449" s="5">
        <v>5</v>
      </c>
      <c r="H449" s="24">
        <f>2000/1.12</f>
        <v>1785.7142857142856</v>
      </c>
      <c r="I449" s="23">
        <f t="shared" si="7"/>
        <v>8928.5714285714275</v>
      </c>
      <c r="J449" s="12" t="s">
        <v>43</v>
      </c>
      <c r="K449" s="12" t="s">
        <v>41</v>
      </c>
      <c r="L449" s="6"/>
      <c r="M449" s="6"/>
      <c r="N449" s="6"/>
      <c r="O449" s="6"/>
      <c r="P449" s="6"/>
      <c r="Q449" s="6"/>
      <c r="R449" s="6"/>
      <c r="S449" s="6"/>
      <c r="T449" s="6"/>
      <c r="U449"/>
      <c r="V449"/>
      <c r="W449"/>
      <c r="X449"/>
    </row>
    <row r="450" spans="1:24" ht="33.75" x14ac:dyDescent="0.2">
      <c r="A450" s="18">
        <v>443</v>
      </c>
      <c r="B450" s="8" t="s">
        <v>474</v>
      </c>
      <c r="C450" s="5" t="s">
        <v>909</v>
      </c>
      <c r="D450" s="13">
        <v>142</v>
      </c>
      <c r="E450" s="8" t="s">
        <v>474</v>
      </c>
      <c r="F450" s="5" t="s">
        <v>42</v>
      </c>
      <c r="G450" s="5">
        <v>3</v>
      </c>
      <c r="H450" s="24">
        <f>1500/1.12</f>
        <v>1339.2857142857142</v>
      </c>
      <c r="I450" s="23">
        <f t="shared" si="7"/>
        <v>4017.8571428571427</v>
      </c>
      <c r="J450" s="12" t="s">
        <v>43</v>
      </c>
      <c r="K450" s="12" t="s">
        <v>41</v>
      </c>
      <c r="L450" s="6"/>
      <c r="M450" s="6"/>
      <c r="N450" s="6"/>
      <c r="O450" s="6"/>
      <c r="P450" s="6"/>
      <c r="Q450" s="6"/>
      <c r="R450" s="6"/>
      <c r="S450" s="6"/>
      <c r="T450" s="6"/>
      <c r="U450"/>
      <c r="V450"/>
      <c r="W450"/>
      <c r="X450"/>
    </row>
    <row r="451" spans="1:24" ht="33.75" x14ac:dyDescent="0.2">
      <c r="A451" s="18">
        <v>444</v>
      </c>
      <c r="B451" s="16" t="s">
        <v>173</v>
      </c>
      <c r="C451" s="5" t="s">
        <v>909</v>
      </c>
      <c r="D451" s="13">
        <v>142</v>
      </c>
      <c r="E451" s="14" t="s">
        <v>856</v>
      </c>
      <c r="F451" s="5" t="s">
        <v>50</v>
      </c>
      <c r="G451" s="5">
        <v>150</v>
      </c>
      <c r="H451" s="24">
        <v>7398.21</v>
      </c>
      <c r="I451" s="23">
        <f t="shared" si="7"/>
        <v>1109731.5</v>
      </c>
      <c r="J451" s="12" t="s">
        <v>43</v>
      </c>
      <c r="K451" s="12" t="s">
        <v>41</v>
      </c>
      <c r="L451" s="6"/>
      <c r="M451" s="6"/>
      <c r="N451" s="6"/>
      <c r="O451" s="6"/>
      <c r="P451" s="6"/>
      <c r="Q451" s="6"/>
      <c r="R451" s="6"/>
      <c r="S451" s="6"/>
      <c r="T451" s="6"/>
      <c r="U451"/>
      <c r="V451"/>
      <c r="W451"/>
      <c r="X451"/>
    </row>
    <row r="452" spans="1:24" ht="33.75" x14ac:dyDescent="0.2">
      <c r="A452" s="18">
        <v>445</v>
      </c>
      <c r="B452" s="16" t="s">
        <v>475</v>
      </c>
      <c r="C452" s="5" t="s">
        <v>909</v>
      </c>
      <c r="D452" s="13">
        <v>142</v>
      </c>
      <c r="E452" s="16" t="s">
        <v>475</v>
      </c>
      <c r="F452" s="5" t="s">
        <v>50</v>
      </c>
      <c r="G452" s="5">
        <v>3</v>
      </c>
      <c r="H452" s="24">
        <v>37066.959999999999</v>
      </c>
      <c r="I452" s="23">
        <f t="shared" si="7"/>
        <v>111200.88</v>
      </c>
      <c r="J452" s="12" t="s">
        <v>43</v>
      </c>
      <c r="K452" s="12" t="s">
        <v>41</v>
      </c>
      <c r="L452" s="6"/>
      <c r="M452" s="6"/>
      <c r="N452" s="6"/>
      <c r="O452" s="6"/>
      <c r="P452" s="6"/>
      <c r="Q452" s="6"/>
      <c r="R452" s="6"/>
      <c r="S452" s="6"/>
      <c r="T452" s="6"/>
      <c r="U452"/>
      <c r="V452"/>
      <c r="W452"/>
      <c r="X452"/>
    </row>
    <row r="453" spans="1:24" ht="33.75" x14ac:dyDescent="0.2">
      <c r="A453" s="18">
        <v>446</v>
      </c>
      <c r="B453" s="8" t="s">
        <v>174</v>
      </c>
      <c r="C453" s="5" t="s">
        <v>909</v>
      </c>
      <c r="D453" s="13">
        <v>142</v>
      </c>
      <c r="E453" s="7" t="s">
        <v>174</v>
      </c>
      <c r="F453" s="5" t="s">
        <v>48</v>
      </c>
      <c r="G453" s="5">
        <v>10</v>
      </c>
      <c r="H453" s="24">
        <f>50000/1.12</f>
        <v>44642.857142857138</v>
      </c>
      <c r="I453" s="23">
        <f t="shared" si="7"/>
        <v>446428.57142857136</v>
      </c>
      <c r="J453" s="12" t="s">
        <v>43</v>
      </c>
      <c r="K453" s="12" t="s">
        <v>41</v>
      </c>
      <c r="L453" s="6"/>
      <c r="M453" s="6"/>
      <c r="N453" s="6"/>
      <c r="O453" s="6"/>
      <c r="P453" s="6"/>
      <c r="Q453" s="6"/>
      <c r="R453" s="6"/>
      <c r="S453" s="6"/>
      <c r="T453" s="6"/>
      <c r="U453"/>
      <c r="V453"/>
      <c r="W453"/>
      <c r="X453"/>
    </row>
    <row r="454" spans="1:24" ht="33.75" x14ac:dyDescent="0.2">
      <c r="A454" s="18">
        <v>447</v>
      </c>
      <c r="B454" s="8" t="s">
        <v>476</v>
      </c>
      <c r="C454" s="5" t="s">
        <v>909</v>
      </c>
      <c r="D454" s="13">
        <v>142</v>
      </c>
      <c r="E454" s="7" t="s">
        <v>476</v>
      </c>
      <c r="F454" s="5" t="s">
        <v>48</v>
      </c>
      <c r="G454" s="5">
        <v>10</v>
      </c>
      <c r="H454" s="24">
        <f>41428.57/1.12</f>
        <v>36989.794642857138</v>
      </c>
      <c r="I454" s="23">
        <f t="shared" si="7"/>
        <v>369897.94642857136</v>
      </c>
      <c r="J454" s="12" t="s">
        <v>43</v>
      </c>
      <c r="K454" s="12" t="s">
        <v>41</v>
      </c>
      <c r="L454" s="6"/>
      <c r="M454" s="6"/>
      <c r="N454" s="6"/>
      <c r="O454" s="6"/>
      <c r="P454" s="6"/>
      <c r="Q454" s="6"/>
      <c r="R454" s="6"/>
      <c r="S454" s="6"/>
      <c r="T454" s="6"/>
      <c r="U454"/>
      <c r="V454"/>
      <c r="W454"/>
      <c r="X454"/>
    </row>
    <row r="455" spans="1:24" ht="33.75" x14ac:dyDescent="0.2">
      <c r="A455" s="18">
        <v>448</v>
      </c>
      <c r="B455" s="8" t="s">
        <v>477</v>
      </c>
      <c r="C455" s="5" t="s">
        <v>909</v>
      </c>
      <c r="D455" s="13">
        <v>142</v>
      </c>
      <c r="E455" s="7" t="s">
        <v>477</v>
      </c>
      <c r="F455" s="5" t="s">
        <v>48</v>
      </c>
      <c r="G455" s="5">
        <v>10</v>
      </c>
      <c r="H455" s="24">
        <f>41428.57/1.12</f>
        <v>36989.794642857138</v>
      </c>
      <c r="I455" s="23">
        <f t="shared" si="7"/>
        <v>369897.94642857136</v>
      </c>
      <c r="J455" s="12" t="s">
        <v>43</v>
      </c>
      <c r="K455" s="12" t="s">
        <v>41</v>
      </c>
      <c r="L455" s="6"/>
      <c r="M455" s="6"/>
      <c r="N455" s="6"/>
      <c r="O455" s="6"/>
      <c r="P455" s="6"/>
      <c r="Q455" s="6"/>
      <c r="R455" s="6"/>
      <c r="S455" s="6"/>
      <c r="T455" s="6"/>
      <c r="U455"/>
      <c r="V455"/>
      <c r="W455"/>
      <c r="X455"/>
    </row>
    <row r="456" spans="1:24" ht="33.75" x14ac:dyDescent="0.2">
      <c r="A456" s="18">
        <v>449</v>
      </c>
      <c r="B456" s="8" t="s">
        <v>175</v>
      </c>
      <c r="C456" s="5" t="s">
        <v>909</v>
      </c>
      <c r="D456" s="13">
        <v>142</v>
      </c>
      <c r="E456" s="19" t="s">
        <v>175</v>
      </c>
      <c r="F456" s="5" t="s">
        <v>50</v>
      </c>
      <c r="G456" s="5">
        <v>3</v>
      </c>
      <c r="H456" s="24">
        <f>3571.43/1.12</f>
        <v>3188.7767857142853</v>
      </c>
      <c r="I456" s="23">
        <f t="shared" si="7"/>
        <v>9566.3303571428551</v>
      </c>
      <c r="J456" s="12" t="s">
        <v>43</v>
      </c>
      <c r="K456" s="12" t="s">
        <v>41</v>
      </c>
      <c r="L456" s="6"/>
      <c r="M456" s="6"/>
      <c r="N456" s="6"/>
      <c r="O456" s="6"/>
      <c r="P456" s="6"/>
      <c r="Q456" s="6"/>
      <c r="R456" s="6"/>
      <c r="S456" s="6"/>
      <c r="T456" s="6"/>
      <c r="U456"/>
      <c r="V456"/>
      <c r="W456"/>
      <c r="X456"/>
    </row>
    <row r="457" spans="1:24" ht="33.75" x14ac:dyDescent="0.2">
      <c r="A457" s="18">
        <v>450</v>
      </c>
      <c r="B457" s="16" t="s">
        <v>176</v>
      </c>
      <c r="C457" s="5" t="s">
        <v>909</v>
      </c>
      <c r="D457" s="13">
        <v>142</v>
      </c>
      <c r="E457" s="14" t="s">
        <v>176</v>
      </c>
      <c r="F457" s="5" t="s">
        <v>42</v>
      </c>
      <c r="G457" s="5">
        <v>20</v>
      </c>
      <c r="H457" s="24">
        <f>284.82/1.12</f>
        <v>254.30357142857139</v>
      </c>
      <c r="I457" s="23">
        <f t="shared" si="7"/>
        <v>5086.0714285714275</v>
      </c>
      <c r="J457" s="12" t="s">
        <v>43</v>
      </c>
      <c r="K457" s="12" t="s">
        <v>41</v>
      </c>
      <c r="L457" s="6"/>
      <c r="M457" s="6"/>
      <c r="N457" s="6"/>
      <c r="O457" s="6"/>
      <c r="P457" s="6"/>
      <c r="Q457" s="6"/>
      <c r="R457" s="6"/>
      <c r="S457" s="6"/>
      <c r="T457" s="6"/>
      <c r="U457"/>
      <c r="V457"/>
      <c r="W457"/>
      <c r="X457"/>
    </row>
    <row r="458" spans="1:24" ht="33.75" x14ac:dyDescent="0.2">
      <c r="A458" s="18">
        <v>451</v>
      </c>
      <c r="B458" s="16" t="s">
        <v>478</v>
      </c>
      <c r="C458" s="5" t="s">
        <v>909</v>
      </c>
      <c r="D458" s="13">
        <v>142</v>
      </c>
      <c r="E458" s="14" t="s">
        <v>857</v>
      </c>
      <c r="F458" s="15" t="s">
        <v>50</v>
      </c>
      <c r="G458" s="20">
        <v>5</v>
      </c>
      <c r="H458" s="24">
        <f>5892.86/1.12</f>
        <v>5261.4821428571422</v>
      </c>
      <c r="I458" s="23">
        <f t="shared" si="7"/>
        <v>26307.41071428571</v>
      </c>
      <c r="J458" s="12" t="s">
        <v>43</v>
      </c>
      <c r="K458" s="12" t="s">
        <v>41</v>
      </c>
      <c r="L458" s="6"/>
      <c r="M458" s="6"/>
      <c r="N458" s="6"/>
      <c r="O458" s="6"/>
      <c r="P458" s="6"/>
      <c r="Q458" s="6"/>
      <c r="R458" s="6"/>
      <c r="S458" s="6"/>
      <c r="T458" s="6"/>
      <c r="U458"/>
      <c r="V458"/>
      <c r="W458"/>
      <c r="X458"/>
    </row>
    <row r="459" spans="1:24" ht="33.75" x14ac:dyDescent="0.2">
      <c r="A459" s="18">
        <v>452</v>
      </c>
      <c r="B459" s="16" t="s">
        <v>177</v>
      </c>
      <c r="C459" s="5" t="s">
        <v>909</v>
      </c>
      <c r="D459" s="13">
        <v>142</v>
      </c>
      <c r="E459" s="14" t="s">
        <v>177</v>
      </c>
      <c r="F459" s="15" t="s">
        <v>50</v>
      </c>
      <c r="G459" s="20">
        <v>15</v>
      </c>
      <c r="H459" s="24">
        <f>2946.43/1.12</f>
        <v>2630.7410714285711</v>
      </c>
      <c r="I459" s="23">
        <f t="shared" si="7"/>
        <v>39461.116071428565</v>
      </c>
      <c r="J459" s="12" t="s">
        <v>43</v>
      </c>
      <c r="K459" s="12" t="s">
        <v>41</v>
      </c>
      <c r="L459" s="6"/>
      <c r="M459" s="6"/>
      <c r="N459" s="6"/>
      <c r="O459" s="6"/>
      <c r="P459" s="6"/>
      <c r="Q459" s="6"/>
      <c r="R459" s="6"/>
      <c r="S459" s="6"/>
      <c r="T459" s="6"/>
      <c r="U459"/>
      <c r="V459"/>
      <c r="W459"/>
      <c r="X459"/>
    </row>
    <row r="460" spans="1:24" ht="33.75" x14ac:dyDescent="0.2">
      <c r="A460" s="18">
        <v>453</v>
      </c>
      <c r="B460" s="16" t="s">
        <v>178</v>
      </c>
      <c r="C460" s="5" t="s">
        <v>909</v>
      </c>
      <c r="D460" s="13">
        <v>142</v>
      </c>
      <c r="E460" s="14" t="s">
        <v>178</v>
      </c>
      <c r="F460" s="15" t="s">
        <v>44</v>
      </c>
      <c r="G460" s="20">
        <v>2</v>
      </c>
      <c r="H460" s="24">
        <f>1674.11/1.12</f>
        <v>1494.7410714285711</v>
      </c>
      <c r="I460" s="23">
        <f t="shared" si="7"/>
        <v>2989.4821428571422</v>
      </c>
      <c r="J460" s="12" t="s">
        <v>43</v>
      </c>
      <c r="K460" s="12" t="s">
        <v>41</v>
      </c>
      <c r="L460" s="6"/>
      <c r="M460" s="6"/>
      <c r="N460" s="6"/>
      <c r="O460" s="6"/>
      <c r="P460" s="6"/>
      <c r="Q460" s="6"/>
      <c r="R460" s="6"/>
      <c r="S460" s="6"/>
      <c r="T460" s="6"/>
      <c r="U460"/>
      <c r="V460"/>
      <c r="W460"/>
      <c r="X460"/>
    </row>
    <row r="461" spans="1:24" ht="33.75" x14ac:dyDescent="0.2">
      <c r="A461" s="18">
        <v>454</v>
      </c>
      <c r="B461" s="16" t="s">
        <v>179</v>
      </c>
      <c r="C461" s="5" t="s">
        <v>909</v>
      </c>
      <c r="D461" s="13">
        <v>142</v>
      </c>
      <c r="E461" s="14" t="s">
        <v>179</v>
      </c>
      <c r="F461" s="15" t="s">
        <v>50</v>
      </c>
      <c r="G461" s="20">
        <v>15</v>
      </c>
      <c r="H461" s="24">
        <f>169.64/1.12</f>
        <v>151.46428571428569</v>
      </c>
      <c r="I461" s="23">
        <f t="shared" si="7"/>
        <v>2271.9642857142853</v>
      </c>
      <c r="J461" s="12" t="s">
        <v>43</v>
      </c>
      <c r="K461" s="12" t="s">
        <v>41</v>
      </c>
      <c r="L461" s="6"/>
      <c r="M461" s="6"/>
      <c r="N461" s="6"/>
      <c r="O461" s="6"/>
      <c r="P461" s="6"/>
      <c r="Q461" s="6"/>
      <c r="R461" s="6"/>
      <c r="S461" s="6"/>
      <c r="T461" s="6"/>
      <c r="U461"/>
      <c r="V461"/>
      <c r="W461"/>
      <c r="X461"/>
    </row>
    <row r="462" spans="1:24" ht="33.75" x14ac:dyDescent="0.2">
      <c r="A462" s="18">
        <v>455</v>
      </c>
      <c r="B462" s="16" t="s">
        <v>479</v>
      </c>
      <c r="C462" s="5" t="s">
        <v>909</v>
      </c>
      <c r="D462" s="13">
        <v>142</v>
      </c>
      <c r="E462" s="14" t="s">
        <v>479</v>
      </c>
      <c r="F462" s="15" t="s">
        <v>42</v>
      </c>
      <c r="G462" s="20">
        <v>10000</v>
      </c>
      <c r="H462" s="24">
        <f>25/1.12</f>
        <v>22.321428571428569</v>
      </c>
      <c r="I462" s="23">
        <f t="shared" si="7"/>
        <v>223214.28571428568</v>
      </c>
      <c r="J462" s="12" t="s">
        <v>43</v>
      </c>
      <c r="K462" s="12" t="s">
        <v>41</v>
      </c>
      <c r="L462" s="6"/>
      <c r="M462" s="6"/>
      <c r="N462" s="6"/>
      <c r="O462" s="6"/>
      <c r="P462" s="6"/>
      <c r="Q462" s="6"/>
      <c r="R462" s="6"/>
      <c r="S462" s="6"/>
      <c r="T462" s="6"/>
      <c r="U462"/>
      <c r="V462"/>
      <c r="W462"/>
      <c r="X462"/>
    </row>
    <row r="463" spans="1:24" ht="33.75" x14ac:dyDescent="0.2">
      <c r="A463" s="18">
        <v>456</v>
      </c>
      <c r="B463" s="16" t="s">
        <v>180</v>
      </c>
      <c r="C463" s="5" t="s">
        <v>909</v>
      </c>
      <c r="D463" s="13">
        <v>142</v>
      </c>
      <c r="E463" s="14" t="s">
        <v>180</v>
      </c>
      <c r="F463" s="15" t="s">
        <v>44</v>
      </c>
      <c r="G463" s="20">
        <v>5</v>
      </c>
      <c r="H463" s="24">
        <f>357.14/1.12</f>
        <v>318.87499999999994</v>
      </c>
      <c r="I463" s="23">
        <f t="shared" ref="I463:I526" si="8">G463*H463</f>
        <v>1594.3749999999998</v>
      </c>
      <c r="J463" s="12" t="s">
        <v>43</v>
      </c>
      <c r="K463" s="12" t="s">
        <v>41</v>
      </c>
      <c r="L463" s="6"/>
      <c r="M463" s="6"/>
      <c r="N463" s="6"/>
      <c r="O463" s="6"/>
      <c r="P463" s="6"/>
      <c r="Q463" s="6"/>
      <c r="R463" s="6"/>
      <c r="S463" s="6"/>
      <c r="T463" s="6"/>
      <c r="U463"/>
      <c r="V463"/>
      <c r="W463"/>
      <c r="X463"/>
    </row>
    <row r="464" spans="1:24" ht="33.75" x14ac:dyDescent="0.2">
      <c r="A464" s="18">
        <v>457</v>
      </c>
      <c r="B464" s="16" t="s">
        <v>181</v>
      </c>
      <c r="C464" s="5" t="s">
        <v>909</v>
      </c>
      <c r="D464" s="13">
        <v>142</v>
      </c>
      <c r="E464" s="14" t="s">
        <v>181</v>
      </c>
      <c r="F464" s="15" t="s">
        <v>44</v>
      </c>
      <c r="G464" s="20">
        <v>5</v>
      </c>
      <c r="H464" s="24">
        <f>348.21/1.12</f>
        <v>310.90178571428567</v>
      </c>
      <c r="I464" s="23">
        <f t="shared" si="8"/>
        <v>1554.5089285714284</v>
      </c>
      <c r="J464" s="12" t="s">
        <v>43</v>
      </c>
      <c r="K464" s="12" t="s">
        <v>41</v>
      </c>
      <c r="L464" s="6"/>
      <c r="M464" s="6"/>
      <c r="N464" s="6"/>
      <c r="O464" s="6"/>
      <c r="P464" s="6"/>
      <c r="Q464" s="6"/>
      <c r="R464" s="6"/>
      <c r="S464" s="6"/>
      <c r="T464" s="6"/>
      <c r="U464"/>
      <c r="V464"/>
      <c r="W464"/>
      <c r="X464"/>
    </row>
    <row r="465" spans="1:24" ht="33.75" x14ac:dyDescent="0.2">
      <c r="A465" s="18">
        <v>458</v>
      </c>
      <c r="B465" s="16" t="s">
        <v>182</v>
      </c>
      <c r="C465" s="5" t="s">
        <v>909</v>
      </c>
      <c r="D465" s="13">
        <v>142</v>
      </c>
      <c r="E465" s="14" t="s">
        <v>182</v>
      </c>
      <c r="F465" s="15" t="s">
        <v>44</v>
      </c>
      <c r="G465" s="20">
        <v>5</v>
      </c>
      <c r="H465" s="24">
        <f>540.18/1.12</f>
        <v>482.30357142857133</v>
      </c>
      <c r="I465" s="23">
        <f t="shared" si="8"/>
        <v>2411.5178571428569</v>
      </c>
      <c r="J465" s="12" t="s">
        <v>43</v>
      </c>
      <c r="K465" s="12" t="s">
        <v>41</v>
      </c>
      <c r="L465" s="6"/>
      <c r="M465" s="6"/>
      <c r="N465" s="6"/>
      <c r="O465" s="6"/>
      <c r="P465" s="6"/>
      <c r="Q465" s="6"/>
      <c r="R465" s="6"/>
      <c r="S465" s="6"/>
      <c r="T465" s="6"/>
      <c r="U465"/>
      <c r="V465"/>
      <c r="W465"/>
      <c r="X465"/>
    </row>
    <row r="466" spans="1:24" ht="33.75" x14ac:dyDescent="0.2">
      <c r="A466" s="18">
        <v>459</v>
      </c>
      <c r="B466" s="16" t="s">
        <v>183</v>
      </c>
      <c r="C466" s="5" t="s">
        <v>909</v>
      </c>
      <c r="D466" s="13">
        <v>142</v>
      </c>
      <c r="E466" s="14" t="s">
        <v>183</v>
      </c>
      <c r="F466" s="15" t="s">
        <v>44</v>
      </c>
      <c r="G466" s="20">
        <v>5</v>
      </c>
      <c r="H466" s="24">
        <f>540.18/1.12</f>
        <v>482.30357142857133</v>
      </c>
      <c r="I466" s="23">
        <f t="shared" si="8"/>
        <v>2411.5178571428569</v>
      </c>
      <c r="J466" s="12" t="s">
        <v>43</v>
      </c>
      <c r="K466" s="12" t="s">
        <v>41</v>
      </c>
      <c r="L466" s="6"/>
      <c r="M466" s="6"/>
      <c r="N466" s="6"/>
      <c r="O466" s="6"/>
      <c r="P466" s="6"/>
      <c r="Q466" s="6"/>
      <c r="R466" s="6"/>
      <c r="S466" s="6"/>
      <c r="T466" s="6"/>
      <c r="U466"/>
      <c r="V466"/>
      <c r="W466"/>
      <c r="X466"/>
    </row>
    <row r="467" spans="1:24" ht="33.75" x14ac:dyDescent="0.2">
      <c r="A467" s="18">
        <v>460</v>
      </c>
      <c r="B467" s="16" t="s">
        <v>184</v>
      </c>
      <c r="C467" s="5" t="s">
        <v>909</v>
      </c>
      <c r="D467" s="13">
        <v>142</v>
      </c>
      <c r="E467" s="14" t="s">
        <v>184</v>
      </c>
      <c r="F467" s="15" t="s">
        <v>44</v>
      </c>
      <c r="G467" s="20">
        <v>20</v>
      </c>
      <c r="H467" s="24">
        <f>540.18/1.12</f>
        <v>482.30357142857133</v>
      </c>
      <c r="I467" s="23">
        <f t="shared" si="8"/>
        <v>9646.0714285714275</v>
      </c>
      <c r="J467" s="12" t="s">
        <v>43</v>
      </c>
      <c r="K467" s="12" t="s">
        <v>41</v>
      </c>
      <c r="L467" s="6"/>
      <c r="M467" s="6"/>
      <c r="N467" s="6"/>
      <c r="O467" s="6"/>
      <c r="P467" s="6"/>
      <c r="Q467" s="6"/>
      <c r="R467" s="6"/>
      <c r="S467" s="6"/>
      <c r="T467" s="6"/>
      <c r="U467"/>
      <c r="V467"/>
      <c r="W467"/>
      <c r="X467"/>
    </row>
    <row r="468" spans="1:24" ht="33.75" x14ac:dyDescent="0.2">
      <c r="A468" s="18">
        <v>461</v>
      </c>
      <c r="B468" s="16" t="s">
        <v>185</v>
      </c>
      <c r="C468" s="5" t="s">
        <v>909</v>
      </c>
      <c r="D468" s="13">
        <v>142</v>
      </c>
      <c r="E468" s="14" t="s">
        <v>185</v>
      </c>
      <c r="F468" s="15" t="s">
        <v>44</v>
      </c>
      <c r="G468" s="20">
        <v>20</v>
      </c>
      <c r="H468" s="24">
        <f>665.18/1.12</f>
        <v>593.91071428571422</v>
      </c>
      <c r="I468" s="23">
        <f t="shared" si="8"/>
        <v>11878.214285714284</v>
      </c>
      <c r="J468" s="12" t="s">
        <v>43</v>
      </c>
      <c r="K468" s="12" t="s">
        <v>41</v>
      </c>
      <c r="L468" s="6"/>
      <c r="M468" s="6"/>
      <c r="N468" s="6"/>
      <c r="O468" s="6"/>
      <c r="P468" s="6"/>
      <c r="Q468" s="6"/>
      <c r="R468" s="6"/>
      <c r="S468" s="6"/>
      <c r="T468" s="6"/>
      <c r="U468"/>
      <c r="V468"/>
      <c r="W468"/>
      <c r="X468"/>
    </row>
    <row r="469" spans="1:24" ht="33.75" x14ac:dyDescent="0.2">
      <c r="A469" s="18">
        <v>462</v>
      </c>
      <c r="B469" s="16" t="s">
        <v>186</v>
      </c>
      <c r="C469" s="5" t="s">
        <v>909</v>
      </c>
      <c r="D469" s="13">
        <v>142</v>
      </c>
      <c r="E469" s="14" t="s">
        <v>186</v>
      </c>
      <c r="F469" s="15" t="s">
        <v>44</v>
      </c>
      <c r="G469" s="20">
        <v>55</v>
      </c>
      <c r="H469" s="24">
        <f>325.89/1.12</f>
        <v>290.97321428571422</v>
      </c>
      <c r="I469" s="23">
        <f t="shared" si="8"/>
        <v>16003.526785714283</v>
      </c>
      <c r="J469" s="12" t="s">
        <v>43</v>
      </c>
      <c r="K469" s="12" t="s">
        <v>41</v>
      </c>
      <c r="L469" s="6"/>
      <c r="M469" s="6"/>
      <c r="N469" s="6"/>
      <c r="O469" s="6"/>
      <c r="P469" s="6"/>
      <c r="Q469" s="6"/>
      <c r="R469" s="6"/>
      <c r="S469" s="6"/>
      <c r="T469" s="6"/>
      <c r="U469"/>
      <c r="V469"/>
      <c r="W469"/>
      <c r="X469"/>
    </row>
    <row r="470" spans="1:24" ht="33.75" x14ac:dyDescent="0.2">
      <c r="A470" s="18">
        <v>463</v>
      </c>
      <c r="B470" s="16" t="s">
        <v>480</v>
      </c>
      <c r="C470" s="5" t="s">
        <v>909</v>
      </c>
      <c r="D470" s="13">
        <v>142</v>
      </c>
      <c r="E470" s="16" t="s">
        <v>480</v>
      </c>
      <c r="F470" s="15" t="s">
        <v>42</v>
      </c>
      <c r="G470" s="20">
        <v>20</v>
      </c>
      <c r="H470" s="24">
        <f>1500/1.12</f>
        <v>1339.2857142857142</v>
      </c>
      <c r="I470" s="23">
        <f t="shared" si="8"/>
        <v>26785.714285714283</v>
      </c>
      <c r="J470" s="12" t="s">
        <v>43</v>
      </c>
      <c r="K470" s="12" t="s">
        <v>41</v>
      </c>
      <c r="L470" s="6"/>
      <c r="M470" s="6"/>
      <c r="N470" s="6"/>
      <c r="O470" s="6"/>
      <c r="P470" s="6"/>
      <c r="Q470" s="6"/>
      <c r="R470" s="6"/>
      <c r="S470" s="6"/>
      <c r="T470" s="6"/>
      <c r="U470"/>
      <c r="V470"/>
      <c r="W470"/>
      <c r="X470"/>
    </row>
    <row r="471" spans="1:24" ht="33.75" x14ac:dyDescent="0.2">
      <c r="A471" s="18">
        <v>464</v>
      </c>
      <c r="B471" s="16" t="s">
        <v>911</v>
      </c>
      <c r="C471" s="5" t="s">
        <v>909</v>
      </c>
      <c r="D471" s="13">
        <v>142</v>
      </c>
      <c r="E471" s="14" t="s">
        <v>911</v>
      </c>
      <c r="F471" s="15" t="s">
        <v>50</v>
      </c>
      <c r="G471" s="20">
        <v>10000</v>
      </c>
      <c r="H471" s="24">
        <f>116.07/1.12</f>
        <v>103.63392857142856</v>
      </c>
      <c r="I471" s="23">
        <f t="shared" si="8"/>
        <v>1036339.2857142856</v>
      </c>
      <c r="J471" s="12" t="s">
        <v>43</v>
      </c>
      <c r="K471" s="12" t="s">
        <v>41</v>
      </c>
      <c r="L471" s="6"/>
      <c r="M471" s="6"/>
      <c r="N471" s="6"/>
      <c r="O471" s="6"/>
      <c r="P471" s="6"/>
      <c r="Q471" s="6"/>
      <c r="R471" s="6"/>
      <c r="S471" s="6"/>
      <c r="T471" s="6"/>
      <c r="U471"/>
      <c r="V471"/>
      <c r="W471"/>
      <c r="X471"/>
    </row>
    <row r="472" spans="1:24" ht="33.75" x14ac:dyDescent="0.2">
      <c r="A472" s="18">
        <v>465</v>
      </c>
      <c r="B472" s="16" t="s">
        <v>187</v>
      </c>
      <c r="C472" s="5" t="s">
        <v>909</v>
      </c>
      <c r="D472" s="13">
        <v>142</v>
      </c>
      <c r="E472" s="14" t="s">
        <v>187</v>
      </c>
      <c r="F472" s="15" t="s">
        <v>44</v>
      </c>
      <c r="G472" s="20">
        <v>20</v>
      </c>
      <c r="H472" s="24">
        <f>455.36/1.12</f>
        <v>406.57142857142856</v>
      </c>
      <c r="I472" s="23">
        <f t="shared" si="8"/>
        <v>8131.4285714285706</v>
      </c>
      <c r="J472" s="12" t="s">
        <v>43</v>
      </c>
      <c r="K472" s="12" t="s">
        <v>41</v>
      </c>
      <c r="L472" s="6"/>
      <c r="M472" s="6"/>
      <c r="N472" s="6"/>
      <c r="O472" s="6"/>
      <c r="P472" s="6"/>
      <c r="Q472" s="6"/>
      <c r="R472" s="6"/>
      <c r="S472" s="6"/>
      <c r="T472" s="6"/>
      <c r="U472"/>
      <c r="V472"/>
      <c r="W472"/>
      <c r="X472"/>
    </row>
    <row r="473" spans="1:24" ht="33.75" x14ac:dyDescent="0.2">
      <c r="A473" s="18">
        <v>466</v>
      </c>
      <c r="B473" s="16" t="s">
        <v>188</v>
      </c>
      <c r="C473" s="5" t="s">
        <v>909</v>
      </c>
      <c r="D473" s="13">
        <v>142</v>
      </c>
      <c r="E473" s="14" t="s">
        <v>188</v>
      </c>
      <c r="F473" s="15" t="s">
        <v>44</v>
      </c>
      <c r="G473" s="20">
        <v>500</v>
      </c>
      <c r="H473" s="24">
        <f>67.86/1.12</f>
        <v>60.589285714285708</v>
      </c>
      <c r="I473" s="23">
        <f t="shared" si="8"/>
        <v>30294.642857142855</v>
      </c>
      <c r="J473" s="12" t="s">
        <v>43</v>
      </c>
      <c r="K473" s="12" t="s">
        <v>41</v>
      </c>
      <c r="L473" s="6"/>
      <c r="M473" s="6"/>
      <c r="N473" s="6"/>
      <c r="O473" s="6"/>
      <c r="P473" s="6"/>
      <c r="Q473" s="6"/>
      <c r="R473" s="6"/>
      <c r="S473" s="6"/>
      <c r="T473" s="6"/>
      <c r="U473"/>
      <c r="V473"/>
      <c r="W473"/>
      <c r="X473"/>
    </row>
    <row r="474" spans="1:24" ht="33.75" x14ac:dyDescent="0.2">
      <c r="A474" s="18">
        <v>467</v>
      </c>
      <c r="B474" s="16" t="s">
        <v>189</v>
      </c>
      <c r="C474" s="5" t="s">
        <v>909</v>
      </c>
      <c r="D474" s="13">
        <v>142</v>
      </c>
      <c r="E474" s="14" t="s">
        <v>189</v>
      </c>
      <c r="F474" s="15" t="s">
        <v>44</v>
      </c>
      <c r="G474" s="20">
        <v>1000</v>
      </c>
      <c r="H474" s="24">
        <f>84.82/1.12</f>
        <v>75.732142857142847</v>
      </c>
      <c r="I474" s="23">
        <f t="shared" si="8"/>
        <v>75732.142857142841</v>
      </c>
      <c r="J474" s="12" t="s">
        <v>43</v>
      </c>
      <c r="K474" s="12" t="s">
        <v>41</v>
      </c>
      <c r="L474" s="6"/>
      <c r="M474" s="6"/>
      <c r="N474" s="6"/>
      <c r="O474" s="6"/>
      <c r="P474" s="6"/>
      <c r="Q474" s="6"/>
      <c r="R474" s="6"/>
      <c r="S474" s="6"/>
      <c r="T474" s="6"/>
      <c r="U474"/>
      <c r="V474"/>
      <c r="W474"/>
      <c r="X474"/>
    </row>
    <row r="475" spans="1:24" ht="33.75" x14ac:dyDescent="0.2">
      <c r="A475" s="18">
        <v>468</v>
      </c>
      <c r="B475" s="16" t="s">
        <v>190</v>
      </c>
      <c r="C475" s="5" t="s">
        <v>909</v>
      </c>
      <c r="D475" s="13">
        <v>142</v>
      </c>
      <c r="E475" s="14" t="s">
        <v>190</v>
      </c>
      <c r="F475" s="15" t="s">
        <v>44</v>
      </c>
      <c r="G475" s="20">
        <v>20</v>
      </c>
      <c r="H475" s="24">
        <f>174.11/1.112</f>
        <v>156.57374100719423</v>
      </c>
      <c r="I475" s="23">
        <f t="shared" si="8"/>
        <v>3131.4748201438847</v>
      </c>
      <c r="J475" s="12" t="s">
        <v>43</v>
      </c>
      <c r="K475" s="12" t="s">
        <v>41</v>
      </c>
      <c r="L475" s="6"/>
      <c r="M475" s="6"/>
      <c r="N475" s="6"/>
      <c r="O475" s="6"/>
      <c r="P475" s="6"/>
      <c r="Q475" s="6"/>
      <c r="R475" s="6"/>
      <c r="S475" s="6"/>
      <c r="T475" s="6"/>
      <c r="U475"/>
      <c r="V475"/>
      <c r="W475"/>
      <c r="X475"/>
    </row>
    <row r="476" spans="1:24" ht="33.75" x14ac:dyDescent="0.2">
      <c r="A476" s="18">
        <v>469</v>
      </c>
      <c r="B476" s="16" t="s">
        <v>481</v>
      </c>
      <c r="C476" s="5" t="s">
        <v>909</v>
      </c>
      <c r="D476" s="13">
        <v>142</v>
      </c>
      <c r="E476" s="14" t="s">
        <v>481</v>
      </c>
      <c r="F476" s="15" t="s">
        <v>44</v>
      </c>
      <c r="G476" s="20">
        <v>4000</v>
      </c>
      <c r="H476" s="24">
        <f>71.43/1.12</f>
        <v>63.776785714285715</v>
      </c>
      <c r="I476" s="23">
        <f t="shared" si="8"/>
        <v>255107.14285714287</v>
      </c>
      <c r="J476" s="12" t="s">
        <v>43</v>
      </c>
      <c r="K476" s="12" t="s">
        <v>41</v>
      </c>
      <c r="L476" s="6"/>
      <c r="M476" s="6"/>
      <c r="N476" s="6"/>
      <c r="O476" s="6"/>
      <c r="P476" s="6"/>
      <c r="Q476" s="6"/>
      <c r="R476" s="6"/>
      <c r="S476" s="6"/>
      <c r="T476" s="6"/>
      <c r="U476"/>
      <c r="V476"/>
      <c r="W476"/>
      <c r="X476"/>
    </row>
    <row r="477" spans="1:24" ht="33.75" x14ac:dyDescent="0.2">
      <c r="A477" s="18">
        <v>470</v>
      </c>
      <c r="B477" s="16" t="s">
        <v>0</v>
      </c>
      <c r="C477" s="5" t="s">
        <v>909</v>
      </c>
      <c r="D477" s="13">
        <v>142</v>
      </c>
      <c r="E477" s="14" t="s">
        <v>0</v>
      </c>
      <c r="F477" s="15" t="s">
        <v>44</v>
      </c>
      <c r="G477" s="20">
        <v>1000</v>
      </c>
      <c r="H477" s="24">
        <f>125/1.12</f>
        <v>111.60714285714285</v>
      </c>
      <c r="I477" s="23">
        <f t="shared" si="8"/>
        <v>111607.14285714284</v>
      </c>
      <c r="J477" s="12" t="s">
        <v>43</v>
      </c>
      <c r="K477" s="12" t="s">
        <v>41</v>
      </c>
      <c r="L477" s="6"/>
      <c r="M477" s="6"/>
      <c r="N477" s="6"/>
      <c r="O477" s="6"/>
      <c r="P477" s="6"/>
      <c r="Q477" s="6"/>
      <c r="R477" s="6"/>
      <c r="S477" s="6"/>
      <c r="T477" s="6"/>
      <c r="U477"/>
      <c r="V477"/>
      <c r="W477"/>
      <c r="X477"/>
    </row>
    <row r="478" spans="1:24" ht="33.75" x14ac:dyDescent="0.2">
      <c r="A478" s="18">
        <v>471</v>
      </c>
      <c r="B478" s="16" t="s">
        <v>482</v>
      </c>
      <c r="C478" s="5" t="s">
        <v>909</v>
      </c>
      <c r="D478" s="13">
        <v>142</v>
      </c>
      <c r="E478" s="14" t="s">
        <v>482</v>
      </c>
      <c r="F478" s="15" t="s">
        <v>695</v>
      </c>
      <c r="G478" s="20">
        <v>50</v>
      </c>
      <c r="H478" s="24">
        <f>1026.79/1.12</f>
        <v>916.77678571428555</v>
      </c>
      <c r="I478" s="23">
        <f t="shared" si="8"/>
        <v>45838.839285714275</v>
      </c>
      <c r="J478" s="12" t="s">
        <v>43</v>
      </c>
      <c r="K478" s="12" t="s">
        <v>41</v>
      </c>
      <c r="L478" s="6"/>
      <c r="M478" s="6"/>
      <c r="N478" s="6"/>
      <c r="O478" s="6"/>
      <c r="P478" s="6"/>
      <c r="Q478" s="6"/>
      <c r="R478" s="6"/>
      <c r="S478" s="6"/>
      <c r="T478" s="6"/>
      <c r="U478"/>
      <c r="V478"/>
      <c r="W478"/>
      <c r="X478"/>
    </row>
    <row r="479" spans="1:24" ht="33.75" x14ac:dyDescent="0.2">
      <c r="A479" s="18">
        <v>472</v>
      </c>
      <c r="B479" s="16" t="s">
        <v>1</v>
      </c>
      <c r="C479" s="5" t="s">
        <v>909</v>
      </c>
      <c r="D479" s="13">
        <v>142</v>
      </c>
      <c r="E479" s="14" t="s">
        <v>1</v>
      </c>
      <c r="F479" s="15" t="s">
        <v>44</v>
      </c>
      <c r="G479" s="20">
        <v>5</v>
      </c>
      <c r="H479" s="24">
        <f>2433.04/1.12</f>
        <v>2172.3571428571427</v>
      </c>
      <c r="I479" s="23">
        <f t="shared" si="8"/>
        <v>10861.785714285714</v>
      </c>
      <c r="J479" s="12" t="s">
        <v>43</v>
      </c>
      <c r="K479" s="12" t="s">
        <v>41</v>
      </c>
      <c r="L479" s="6"/>
      <c r="M479" s="6"/>
      <c r="N479" s="6"/>
      <c r="O479" s="6"/>
      <c r="P479" s="6"/>
      <c r="Q479" s="6"/>
      <c r="R479" s="6"/>
      <c r="S479" s="6"/>
      <c r="T479" s="6"/>
      <c r="U479"/>
      <c r="V479"/>
      <c r="W479"/>
      <c r="X479"/>
    </row>
    <row r="480" spans="1:24" ht="33.75" x14ac:dyDescent="0.2">
      <c r="A480" s="18">
        <v>473</v>
      </c>
      <c r="B480" s="16" t="s">
        <v>483</v>
      </c>
      <c r="C480" s="5" t="s">
        <v>909</v>
      </c>
      <c r="D480" s="13">
        <v>142</v>
      </c>
      <c r="E480" s="16" t="s">
        <v>483</v>
      </c>
      <c r="F480" s="15" t="s">
        <v>42</v>
      </c>
      <c r="G480" s="20">
        <v>3</v>
      </c>
      <c r="H480" s="24">
        <f>2433.04/1.12</f>
        <v>2172.3571428571427</v>
      </c>
      <c r="I480" s="23">
        <f t="shared" si="8"/>
        <v>6517.0714285714275</v>
      </c>
      <c r="J480" s="12" t="s">
        <v>43</v>
      </c>
      <c r="K480" s="12" t="s">
        <v>41</v>
      </c>
      <c r="L480" s="6"/>
      <c r="M480" s="6"/>
      <c r="N480" s="6"/>
      <c r="O480" s="6"/>
      <c r="P480" s="6"/>
      <c r="Q480" s="6"/>
      <c r="R480" s="6"/>
      <c r="S480" s="6"/>
      <c r="T480" s="6"/>
      <c r="U480"/>
      <c r="V480"/>
      <c r="W480"/>
      <c r="X480"/>
    </row>
    <row r="481" spans="1:24" ht="33.75" x14ac:dyDescent="0.2">
      <c r="A481" s="18">
        <v>474</v>
      </c>
      <c r="B481" s="16" t="s">
        <v>2</v>
      </c>
      <c r="C481" s="5" t="s">
        <v>909</v>
      </c>
      <c r="D481" s="13">
        <v>142</v>
      </c>
      <c r="E481" s="14" t="s">
        <v>2</v>
      </c>
      <c r="F481" s="15" t="s">
        <v>50</v>
      </c>
      <c r="G481" s="20">
        <v>2</v>
      </c>
      <c r="H481" s="24">
        <f>3705.36/1.112</f>
        <v>3332.1582733812947</v>
      </c>
      <c r="I481" s="23">
        <f t="shared" si="8"/>
        <v>6664.3165467625895</v>
      </c>
      <c r="J481" s="12" t="s">
        <v>43</v>
      </c>
      <c r="K481" s="12" t="s">
        <v>41</v>
      </c>
      <c r="L481" s="6"/>
      <c r="M481" s="6"/>
      <c r="N481" s="6"/>
      <c r="O481" s="6"/>
      <c r="P481" s="6"/>
      <c r="Q481" s="6"/>
      <c r="R481" s="6"/>
      <c r="S481" s="6"/>
      <c r="T481" s="6"/>
      <c r="U481"/>
      <c r="V481"/>
      <c r="W481"/>
      <c r="X481"/>
    </row>
    <row r="482" spans="1:24" ht="33.75" x14ac:dyDescent="0.2">
      <c r="A482" s="18">
        <v>475</v>
      </c>
      <c r="B482" s="16" t="s">
        <v>3</v>
      </c>
      <c r="C482" s="5" t="s">
        <v>909</v>
      </c>
      <c r="D482" s="13">
        <v>142</v>
      </c>
      <c r="E482" s="14" t="s">
        <v>3</v>
      </c>
      <c r="F482" s="15" t="s">
        <v>40</v>
      </c>
      <c r="G482" s="20">
        <v>1</v>
      </c>
      <c r="H482" s="24">
        <f>4919.64/1.12</f>
        <v>4392.5357142857138</v>
      </c>
      <c r="I482" s="23">
        <f t="shared" si="8"/>
        <v>4392.5357142857138</v>
      </c>
      <c r="J482" s="12" t="s">
        <v>43</v>
      </c>
      <c r="K482" s="12" t="s">
        <v>41</v>
      </c>
      <c r="L482" s="6"/>
      <c r="M482" s="6"/>
      <c r="N482" s="6"/>
      <c r="O482" s="6"/>
      <c r="P482" s="6"/>
      <c r="Q482" s="6"/>
      <c r="R482" s="6"/>
      <c r="S482" s="6"/>
      <c r="T482" s="6"/>
      <c r="U482"/>
      <c r="V482"/>
      <c r="W482"/>
      <c r="X482"/>
    </row>
    <row r="483" spans="1:24" ht="33.75" x14ac:dyDescent="0.2">
      <c r="A483" s="18">
        <v>476</v>
      </c>
      <c r="B483" s="8" t="s">
        <v>131</v>
      </c>
      <c r="C483" s="5" t="s">
        <v>909</v>
      </c>
      <c r="D483" s="13">
        <v>142</v>
      </c>
      <c r="E483" s="19" t="s">
        <v>131</v>
      </c>
      <c r="F483" s="15" t="s">
        <v>28</v>
      </c>
      <c r="G483" s="20">
        <v>4</v>
      </c>
      <c r="H483" s="24">
        <f>20053.57/1.12</f>
        <v>17904.973214285714</v>
      </c>
      <c r="I483" s="23">
        <f t="shared" si="8"/>
        <v>71619.892857142855</v>
      </c>
      <c r="J483" s="12" t="s">
        <v>43</v>
      </c>
      <c r="K483" s="12" t="s">
        <v>41</v>
      </c>
      <c r="L483" s="6"/>
      <c r="M483" s="6"/>
      <c r="N483" s="6"/>
      <c r="O483" s="6"/>
      <c r="P483" s="6"/>
      <c r="Q483" s="6"/>
      <c r="R483" s="6"/>
      <c r="S483" s="6"/>
      <c r="T483" s="6"/>
      <c r="U483"/>
      <c r="V483"/>
      <c r="W483"/>
      <c r="X483"/>
    </row>
    <row r="484" spans="1:24" ht="33.75" x14ac:dyDescent="0.2">
      <c r="A484" s="18">
        <v>477</v>
      </c>
      <c r="B484" s="8" t="s">
        <v>4</v>
      </c>
      <c r="C484" s="5" t="s">
        <v>909</v>
      </c>
      <c r="D484" s="13">
        <v>142</v>
      </c>
      <c r="E484" s="19" t="s">
        <v>4</v>
      </c>
      <c r="F484" s="15" t="s">
        <v>28</v>
      </c>
      <c r="G484" s="20">
        <v>1</v>
      </c>
      <c r="H484" s="24">
        <f>18392.86/1.12</f>
        <v>16422.196428571428</v>
      </c>
      <c r="I484" s="23">
        <f t="shared" si="8"/>
        <v>16422.196428571428</v>
      </c>
      <c r="J484" s="12" t="s">
        <v>43</v>
      </c>
      <c r="K484" s="12" t="s">
        <v>41</v>
      </c>
      <c r="L484" s="6"/>
      <c r="M484" s="6"/>
      <c r="N484" s="6"/>
      <c r="O484" s="6"/>
      <c r="P484" s="6"/>
      <c r="Q484" s="6"/>
      <c r="R484" s="6"/>
      <c r="S484" s="6"/>
      <c r="T484" s="6"/>
      <c r="U484"/>
      <c r="V484"/>
      <c r="W484"/>
      <c r="X484"/>
    </row>
    <row r="485" spans="1:24" ht="33.75" x14ac:dyDescent="0.2">
      <c r="A485" s="18">
        <v>478</v>
      </c>
      <c r="B485" s="8" t="s">
        <v>484</v>
      </c>
      <c r="C485" s="5" t="s">
        <v>909</v>
      </c>
      <c r="D485" s="13">
        <v>142</v>
      </c>
      <c r="E485" s="7" t="s">
        <v>484</v>
      </c>
      <c r="F485" s="15" t="s">
        <v>687</v>
      </c>
      <c r="G485" s="20">
        <v>34</v>
      </c>
      <c r="H485" s="24">
        <f>3125/1.12</f>
        <v>2790.1785714285711</v>
      </c>
      <c r="I485" s="23">
        <f t="shared" si="8"/>
        <v>94866.07142857142</v>
      </c>
      <c r="J485" s="12" t="s">
        <v>43</v>
      </c>
      <c r="K485" s="12" t="s">
        <v>41</v>
      </c>
      <c r="L485" s="6"/>
      <c r="M485" s="6"/>
      <c r="N485" s="6"/>
      <c r="O485" s="6"/>
      <c r="P485" s="6"/>
      <c r="Q485" s="6"/>
      <c r="R485" s="6"/>
      <c r="S485" s="6"/>
      <c r="T485" s="6"/>
      <c r="U485"/>
      <c r="V485"/>
      <c r="W485"/>
      <c r="X485"/>
    </row>
    <row r="486" spans="1:24" ht="33.75" x14ac:dyDescent="0.2">
      <c r="A486" s="18">
        <v>479</v>
      </c>
      <c r="B486" s="8" t="s">
        <v>485</v>
      </c>
      <c r="C486" s="5" t="s">
        <v>909</v>
      </c>
      <c r="D486" s="13">
        <v>142</v>
      </c>
      <c r="E486" s="7" t="s">
        <v>485</v>
      </c>
      <c r="F486" s="15" t="s">
        <v>687</v>
      </c>
      <c r="G486" s="20">
        <v>20</v>
      </c>
      <c r="H486" s="24">
        <f>880/1.12</f>
        <v>785.71428571428567</v>
      </c>
      <c r="I486" s="23">
        <f t="shared" si="8"/>
        <v>15714.285714285714</v>
      </c>
      <c r="J486" s="12" t="s">
        <v>43</v>
      </c>
      <c r="K486" s="12" t="s">
        <v>41</v>
      </c>
      <c r="L486" s="6"/>
      <c r="M486" s="6"/>
      <c r="N486" s="6"/>
      <c r="O486" s="6"/>
      <c r="P486" s="6"/>
      <c r="Q486" s="6"/>
      <c r="R486" s="6"/>
      <c r="S486" s="6"/>
      <c r="T486" s="6"/>
      <c r="U486"/>
      <c r="V486"/>
      <c r="W486"/>
      <c r="X486"/>
    </row>
    <row r="487" spans="1:24" ht="33.75" x14ac:dyDescent="0.2">
      <c r="A487" s="18">
        <v>480</v>
      </c>
      <c r="B487" s="8" t="s">
        <v>486</v>
      </c>
      <c r="C487" s="5" t="s">
        <v>909</v>
      </c>
      <c r="D487" s="13">
        <v>142</v>
      </c>
      <c r="E487" s="7" t="s">
        <v>486</v>
      </c>
      <c r="F487" s="15" t="s">
        <v>42</v>
      </c>
      <c r="G487" s="20">
        <v>3</v>
      </c>
      <c r="H487" s="24">
        <f>650/1.12</f>
        <v>580.35714285714278</v>
      </c>
      <c r="I487" s="23">
        <f t="shared" si="8"/>
        <v>1741.0714285714284</v>
      </c>
      <c r="J487" s="12" t="s">
        <v>43</v>
      </c>
      <c r="K487" s="12" t="s">
        <v>41</v>
      </c>
      <c r="L487" s="6"/>
      <c r="M487" s="6"/>
      <c r="N487" s="6"/>
      <c r="O487" s="6"/>
      <c r="P487" s="6"/>
      <c r="Q487" s="6"/>
      <c r="R487" s="6"/>
      <c r="S487" s="6"/>
      <c r="T487" s="6"/>
      <c r="U487"/>
      <c r="V487"/>
      <c r="W487"/>
      <c r="X487"/>
    </row>
    <row r="488" spans="1:24" ht="33.75" x14ac:dyDescent="0.2">
      <c r="A488" s="18">
        <v>481</v>
      </c>
      <c r="B488" s="8" t="s">
        <v>487</v>
      </c>
      <c r="C488" s="5" t="s">
        <v>909</v>
      </c>
      <c r="D488" s="13">
        <v>142</v>
      </c>
      <c r="E488" s="7" t="s">
        <v>487</v>
      </c>
      <c r="F488" s="15" t="s">
        <v>42</v>
      </c>
      <c r="G488" s="20">
        <v>5</v>
      </c>
      <c r="H488" s="24">
        <f>450/1.12</f>
        <v>401.78571428571422</v>
      </c>
      <c r="I488" s="23">
        <f t="shared" si="8"/>
        <v>2008.9285714285711</v>
      </c>
      <c r="J488" s="12" t="s">
        <v>43</v>
      </c>
      <c r="K488" s="12" t="s">
        <v>41</v>
      </c>
      <c r="L488" s="6"/>
      <c r="M488" s="6"/>
      <c r="N488" s="6"/>
      <c r="O488" s="6"/>
      <c r="P488" s="6"/>
      <c r="Q488" s="6"/>
      <c r="R488" s="6"/>
      <c r="S488" s="6"/>
      <c r="T488" s="6"/>
      <c r="U488"/>
      <c r="V488"/>
      <c r="W488"/>
      <c r="X488"/>
    </row>
    <row r="489" spans="1:24" ht="33.75" x14ac:dyDescent="0.2">
      <c r="A489" s="18">
        <v>482</v>
      </c>
      <c r="B489" s="8" t="s">
        <v>488</v>
      </c>
      <c r="C489" s="5" t="s">
        <v>909</v>
      </c>
      <c r="D489" s="13">
        <v>142</v>
      </c>
      <c r="E489" s="7" t="s">
        <v>488</v>
      </c>
      <c r="F489" s="15" t="s">
        <v>42</v>
      </c>
      <c r="G489" s="20">
        <v>5</v>
      </c>
      <c r="H489" s="24">
        <f>550/1.12</f>
        <v>491.0714285714285</v>
      </c>
      <c r="I489" s="23">
        <f t="shared" si="8"/>
        <v>2455.3571428571427</v>
      </c>
      <c r="J489" s="12" t="s">
        <v>43</v>
      </c>
      <c r="K489" s="12" t="s">
        <v>41</v>
      </c>
      <c r="L489" s="6"/>
      <c r="M489" s="6"/>
      <c r="N489" s="6"/>
      <c r="O489" s="6"/>
      <c r="P489" s="6"/>
      <c r="Q489" s="6"/>
      <c r="R489" s="6"/>
      <c r="S489" s="6"/>
      <c r="T489" s="6"/>
      <c r="U489"/>
      <c r="V489"/>
      <c r="W489"/>
      <c r="X489"/>
    </row>
    <row r="490" spans="1:24" ht="33.75" x14ac:dyDescent="0.2">
      <c r="A490" s="18">
        <v>483</v>
      </c>
      <c r="B490" s="8" t="s">
        <v>489</v>
      </c>
      <c r="C490" s="5" t="s">
        <v>909</v>
      </c>
      <c r="D490" s="13">
        <v>142</v>
      </c>
      <c r="E490" s="7" t="s">
        <v>489</v>
      </c>
      <c r="F490" s="15" t="s">
        <v>42</v>
      </c>
      <c r="G490" s="20">
        <v>1</v>
      </c>
      <c r="H490" s="24">
        <f>560/1.12</f>
        <v>499.99999999999994</v>
      </c>
      <c r="I490" s="23">
        <f t="shared" si="8"/>
        <v>499.99999999999994</v>
      </c>
      <c r="J490" s="12" t="s">
        <v>43</v>
      </c>
      <c r="K490" s="12" t="s">
        <v>41</v>
      </c>
      <c r="L490" s="6"/>
      <c r="M490" s="6"/>
      <c r="N490" s="6"/>
      <c r="O490" s="6"/>
      <c r="P490" s="6"/>
      <c r="Q490" s="6"/>
      <c r="R490" s="6"/>
      <c r="S490" s="6"/>
      <c r="T490" s="6"/>
      <c r="U490"/>
      <c r="V490"/>
      <c r="W490"/>
      <c r="X490"/>
    </row>
    <row r="491" spans="1:24" ht="33.75" x14ac:dyDescent="0.2">
      <c r="A491" s="18">
        <v>484</v>
      </c>
      <c r="B491" s="8" t="s">
        <v>490</v>
      </c>
      <c r="C491" s="5" t="s">
        <v>909</v>
      </c>
      <c r="D491" s="13">
        <v>142</v>
      </c>
      <c r="E491" s="7" t="s">
        <v>490</v>
      </c>
      <c r="F491" s="15" t="s">
        <v>42</v>
      </c>
      <c r="G491" s="20">
        <v>1</v>
      </c>
      <c r="H491" s="24">
        <f>580/1.12</f>
        <v>517.85714285714278</v>
      </c>
      <c r="I491" s="23">
        <f t="shared" si="8"/>
        <v>517.85714285714278</v>
      </c>
      <c r="J491" s="12" t="s">
        <v>43</v>
      </c>
      <c r="K491" s="12" t="s">
        <v>41</v>
      </c>
      <c r="L491" s="6"/>
      <c r="M491" s="6"/>
      <c r="N491" s="6"/>
      <c r="O491" s="6"/>
      <c r="P491" s="6"/>
      <c r="Q491" s="6"/>
      <c r="R491" s="6"/>
      <c r="S491" s="6"/>
      <c r="T491" s="6"/>
      <c r="U491"/>
      <c r="V491"/>
      <c r="W491"/>
      <c r="X491"/>
    </row>
    <row r="492" spans="1:24" ht="33.75" x14ac:dyDescent="0.2">
      <c r="A492" s="18">
        <v>485</v>
      </c>
      <c r="B492" s="8" t="s">
        <v>491</v>
      </c>
      <c r="C492" s="5" t="s">
        <v>909</v>
      </c>
      <c r="D492" s="13">
        <v>142</v>
      </c>
      <c r="E492" s="7" t="s">
        <v>491</v>
      </c>
      <c r="F492" s="15" t="s">
        <v>42</v>
      </c>
      <c r="G492" s="20">
        <v>10</v>
      </c>
      <c r="H492" s="24">
        <f>350/1.12</f>
        <v>312.49999999999994</v>
      </c>
      <c r="I492" s="23">
        <f t="shared" si="8"/>
        <v>3124.9999999999995</v>
      </c>
      <c r="J492" s="12" t="s">
        <v>43</v>
      </c>
      <c r="K492" s="12" t="s">
        <v>41</v>
      </c>
      <c r="L492" s="6"/>
      <c r="M492" s="6"/>
      <c r="N492" s="6"/>
      <c r="O492" s="6"/>
      <c r="P492" s="6"/>
      <c r="Q492" s="6"/>
      <c r="R492" s="6"/>
      <c r="S492" s="6"/>
      <c r="T492" s="6"/>
      <c r="U492"/>
      <c r="V492"/>
      <c r="W492"/>
      <c r="X492"/>
    </row>
    <row r="493" spans="1:24" ht="33.75" x14ac:dyDescent="0.2">
      <c r="A493" s="18">
        <v>486</v>
      </c>
      <c r="B493" s="8" t="s">
        <v>492</v>
      </c>
      <c r="C493" s="5" t="s">
        <v>909</v>
      </c>
      <c r="D493" s="13">
        <v>142</v>
      </c>
      <c r="E493" s="7" t="s">
        <v>492</v>
      </c>
      <c r="F493" s="15" t="s">
        <v>42</v>
      </c>
      <c r="G493" s="20">
        <v>10</v>
      </c>
      <c r="H493" s="24">
        <f>350/1.12</f>
        <v>312.49999999999994</v>
      </c>
      <c r="I493" s="23">
        <f t="shared" si="8"/>
        <v>3124.9999999999995</v>
      </c>
      <c r="J493" s="12" t="s">
        <v>43</v>
      </c>
      <c r="K493" s="12" t="s">
        <v>41</v>
      </c>
      <c r="L493" s="6"/>
      <c r="M493" s="6"/>
      <c r="N493" s="6"/>
      <c r="O493" s="6"/>
      <c r="P493" s="6"/>
      <c r="Q493" s="6"/>
      <c r="R493" s="6"/>
      <c r="S493" s="6"/>
      <c r="T493" s="6"/>
      <c r="U493"/>
      <c r="V493"/>
      <c r="W493"/>
      <c r="X493"/>
    </row>
    <row r="494" spans="1:24" ht="33.75" x14ac:dyDescent="0.2">
      <c r="A494" s="18">
        <v>487</v>
      </c>
      <c r="B494" s="8" t="s">
        <v>493</v>
      </c>
      <c r="C494" s="5" t="s">
        <v>909</v>
      </c>
      <c r="D494" s="13">
        <v>142</v>
      </c>
      <c r="E494" s="7" t="s">
        <v>493</v>
      </c>
      <c r="F494" s="15" t="s">
        <v>42</v>
      </c>
      <c r="G494" s="20">
        <v>5</v>
      </c>
      <c r="H494" s="24">
        <f>350/1.12</f>
        <v>312.49999999999994</v>
      </c>
      <c r="I494" s="23">
        <f t="shared" si="8"/>
        <v>1562.4999999999998</v>
      </c>
      <c r="J494" s="12" t="s">
        <v>43</v>
      </c>
      <c r="K494" s="12" t="s">
        <v>41</v>
      </c>
      <c r="L494" s="6"/>
      <c r="M494" s="6"/>
      <c r="N494" s="6"/>
      <c r="O494" s="6"/>
      <c r="P494" s="6"/>
      <c r="Q494" s="6"/>
      <c r="R494" s="6"/>
      <c r="S494" s="6"/>
      <c r="T494" s="6"/>
      <c r="U494"/>
      <c r="V494"/>
      <c r="W494"/>
      <c r="X494"/>
    </row>
    <row r="495" spans="1:24" ht="33.75" x14ac:dyDescent="0.2">
      <c r="A495" s="18">
        <v>488</v>
      </c>
      <c r="B495" s="8" t="s">
        <v>494</v>
      </c>
      <c r="C495" s="5" t="s">
        <v>909</v>
      </c>
      <c r="D495" s="13">
        <v>142</v>
      </c>
      <c r="E495" s="7" t="s">
        <v>494</v>
      </c>
      <c r="F495" s="15" t="s">
        <v>42</v>
      </c>
      <c r="G495" s="20">
        <v>20</v>
      </c>
      <c r="H495" s="24">
        <f>400/1.12</f>
        <v>357.14285714285711</v>
      </c>
      <c r="I495" s="23">
        <f t="shared" si="8"/>
        <v>7142.8571428571422</v>
      </c>
      <c r="J495" s="12" t="s">
        <v>43</v>
      </c>
      <c r="K495" s="12" t="s">
        <v>41</v>
      </c>
      <c r="L495" s="6"/>
      <c r="M495" s="6"/>
      <c r="N495" s="6"/>
      <c r="O495" s="6"/>
      <c r="P495" s="6"/>
      <c r="Q495" s="6"/>
      <c r="R495" s="6"/>
      <c r="S495" s="6"/>
      <c r="T495" s="6"/>
      <c r="U495"/>
      <c r="V495"/>
      <c r="W495"/>
      <c r="X495"/>
    </row>
    <row r="496" spans="1:24" ht="33.75" x14ac:dyDescent="0.2">
      <c r="A496" s="18">
        <v>489</v>
      </c>
      <c r="B496" s="8" t="s">
        <v>495</v>
      </c>
      <c r="C496" s="5" t="s">
        <v>909</v>
      </c>
      <c r="D496" s="13">
        <v>142</v>
      </c>
      <c r="E496" s="7" t="s">
        <v>495</v>
      </c>
      <c r="F496" s="15" t="s">
        <v>42</v>
      </c>
      <c r="G496" s="20">
        <v>2</v>
      </c>
      <c r="H496" s="24">
        <f>1500/1.12</f>
        <v>1339.2857142857142</v>
      </c>
      <c r="I496" s="23">
        <f t="shared" si="8"/>
        <v>2678.5714285714284</v>
      </c>
      <c r="J496" s="12" t="s">
        <v>43</v>
      </c>
      <c r="K496" s="12" t="s">
        <v>41</v>
      </c>
      <c r="L496" s="6"/>
      <c r="M496" s="6"/>
      <c r="N496" s="6"/>
      <c r="O496" s="6"/>
      <c r="P496" s="6"/>
      <c r="Q496" s="6"/>
      <c r="R496" s="6"/>
      <c r="S496" s="6"/>
      <c r="T496" s="6"/>
      <c r="U496"/>
      <c r="V496"/>
      <c r="W496"/>
      <c r="X496"/>
    </row>
    <row r="497" spans="1:24" ht="33.75" x14ac:dyDescent="0.2">
      <c r="A497" s="18">
        <v>490</v>
      </c>
      <c r="B497" s="8" t="s">
        <v>496</v>
      </c>
      <c r="C497" s="5" t="s">
        <v>909</v>
      </c>
      <c r="D497" s="13">
        <v>142</v>
      </c>
      <c r="E497" s="7" t="s">
        <v>496</v>
      </c>
      <c r="F497" s="15" t="s">
        <v>696</v>
      </c>
      <c r="G497" s="20">
        <v>200</v>
      </c>
      <c r="H497" s="24">
        <f>720/1.12</f>
        <v>642.85714285714278</v>
      </c>
      <c r="I497" s="23">
        <f t="shared" si="8"/>
        <v>128571.42857142855</v>
      </c>
      <c r="J497" s="12" t="s">
        <v>43</v>
      </c>
      <c r="K497" s="12" t="s">
        <v>41</v>
      </c>
      <c r="L497" s="6"/>
      <c r="M497" s="6"/>
      <c r="N497" s="6"/>
      <c r="O497" s="6"/>
      <c r="P497" s="6"/>
      <c r="Q497" s="6"/>
      <c r="R497" s="6"/>
      <c r="S497" s="6"/>
      <c r="T497" s="6"/>
      <c r="U497"/>
      <c r="V497"/>
      <c r="W497"/>
      <c r="X497"/>
    </row>
    <row r="498" spans="1:24" ht="33.75" x14ac:dyDescent="0.2">
      <c r="A498" s="18">
        <v>491</v>
      </c>
      <c r="B498" s="8" t="s">
        <v>497</v>
      </c>
      <c r="C498" s="5" t="s">
        <v>909</v>
      </c>
      <c r="D498" s="13">
        <v>142</v>
      </c>
      <c r="E498" s="7" t="s">
        <v>497</v>
      </c>
      <c r="F498" s="15" t="s">
        <v>696</v>
      </c>
      <c r="G498" s="20">
        <v>300</v>
      </c>
      <c r="H498" s="24">
        <f>400/1.12</f>
        <v>357.14285714285711</v>
      </c>
      <c r="I498" s="23">
        <f t="shared" si="8"/>
        <v>107142.85714285713</v>
      </c>
      <c r="J498" s="12" t="s">
        <v>43</v>
      </c>
      <c r="K498" s="12" t="s">
        <v>41</v>
      </c>
      <c r="L498" s="6"/>
      <c r="M498" s="6"/>
      <c r="N498" s="6"/>
      <c r="O498" s="6"/>
      <c r="P498" s="6"/>
      <c r="Q498" s="6"/>
      <c r="R498" s="6"/>
      <c r="S498" s="6"/>
      <c r="T498" s="6"/>
      <c r="U498"/>
      <c r="V498"/>
      <c r="W498"/>
      <c r="X498"/>
    </row>
    <row r="499" spans="1:24" ht="33.75" x14ac:dyDescent="0.2">
      <c r="A499" s="18">
        <v>492</v>
      </c>
      <c r="B499" s="8" t="s">
        <v>498</v>
      </c>
      <c r="C499" s="5" t="s">
        <v>909</v>
      </c>
      <c r="D499" s="13">
        <v>142</v>
      </c>
      <c r="E499" s="7" t="s">
        <v>498</v>
      </c>
      <c r="F499" s="15" t="s">
        <v>51</v>
      </c>
      <c r="G499" s="20">
        <v>8</v>
      </c>
      <c r="H499" s="24">
        <f>5500/1.12</f>
        <v>4910.7142857142853</v>
      </c>
      <c r="I499" s="23">
        <f t="shared" si="8"/>
        <v>39285.714285714283</v>
      </c>
      <c r="J499" s="12" t="s">
        <v>43</v>
      </c>
      <c r="K499" s="12" t="s">
        <v>41</v>
      </c>
      <c r="L499" s="6"/>
      <c r="M499" s="6"/>
      <c r="N499" s="6"/>
      <c r="O499" s="6"/>
      <c r="P499" s="6"/>
      <c r="Q499" s="6"/>
      <c r="R499" s="6"/>
      <c r="S499" s="6"/>
      <c r="T499" s="6"/>
      <c r="U499"/>
      <c r="V499"/>
      <c r="W499"/>
      <c r="X499"/>
    </row>
    <row r="500" spans="1:24" ht="33.75" x14ac:dyDescent="0.2">
      <c r="A500" s="18">
        <v>493</v>
      </c>
      <c r="B500" s="8" t="s">
        <v>499</v>
      </c>
      <c r="C500" s="5" t="s">
        <v>909</v>
      </c>
      <c r="D500" s="13">
        <v>142</v>
      </c>
      <c r="E500" s="7" t="s">
        <v>499</v>
      </c>
      <c r="F500" s="15" t="s">
        <v>697</v>
      </c>
      <c r="G500" s="20">
        <v>2</v>
      </c>
      <c r="H500" s="24">
        <f>3400/1.12</f>
        <v>3035.7142857142853</v>
      </c>
      <c r="I500" s="23">
        <f t="shared" si="8"/>
        <v>6071.4285714285706</v>
      </c>
      <c r="J500" s="12" t="s">
        <v>43</v>
      </c>
      <c r="K500" s="12" t="s">
        <v>41</v>
      </c>
      <c r="L500" s="6"/>
      <c r="M500" s="6"/>
      <c r="N500" s="6"/>
      <c r="O500" s="6"/>
      <c r="P500" s="6"/>
      <c r="Q500" s="6"/>
      <c r="R500" s="6"/>
      <c r="S500" s="6"/>
      <c r="T500" s="6"/>
      <c r="U500"/>
      <c r="V500"/>
      <c r="W500"/>
      <c r="X500"/>
    </row>
    <row r="501" spans="1:24" ht="33.75" x14ac:dyDescent="0.2">
      <c r="A501" s="18">
        <v>494</v>
      </c>
      <c r="B501" s="8" t="s">
        <v>500</v>
      </c>
      <c r="C501" s="5" t="s">
        <v>909</v>
      </c>
      <c r="D501" s="13">
        <v>142</v>
      </c>
      <c r="E501" s="7" t="s">
        <v>500</v>
      </c>
      <c r="F501" s="15" t="s">
        <v>51</v>
      </c>
      <c r="G501" s="20">
        <v>1</v>
      </c>
      <c r="H501" s="24">
        <f>14200/1.12</f>
        <v>12678.571428571428</v>
      </c>
      <c r="I501" s="23">
        <f t="shared" si="8"/>
        <v>12678.571428571428</v>
      </c>
      <c r="J501" s="12" t="s">
        <v>43</v>
      </c>
      <c r="K501" s="12" t="s">
        <v>41</v>
      </c>
      <c r="L501" s="6"/>
      <c r="M501" s="6"/>
      <c r="N501" s="6"/>
      <c r="O501" s="6"/>
      <c r="P501" s="6"/>
      <c r="Q501" s="6"/>
      <c r="R501" s="6"/>
      <c r="S501" s="6"/>
      <c r="T501" s="6"/>
      <c r="U501"/>
      <c r="V501"/>
      <c r="W501"/>
      <c r="X501"/>
    </row>
    <row r="502" spans="1:24" ht="33.75" x14ac:dyDescent="0.2">
      <c r="A502" s="18">
        <v>495</v>
      </c>
      <c r="B502" s="8" t="s">
        <v>501</v>
      </c>
      <c r="C502" s="5" t="s">
        <v>909</v>
      </c>
      <c r="D502" s="13">
        <v>142</v>
      </c>
      <c r="E502" s="7" t="s">
        <v>501</v>
      </c>
      <c r="F502" s="15" t="s">
        <v>48</v>
      </c>
      <c r="G502" s="20">
        <v>4</v>
      </c>
      <c r="H502" s="24">
        <f>2300/1.12</f>
        <v>2053.5714285714284</v>
      </c>
      <c r="I502" s="23">
        <f t="shared" si="8"/>
        <v>8214.2857142857138</v>
      </c>
      <c r="J502" s="12" t="s">
        <v>43</v>
      </c>
      <c r="K502" s="12" t="s">
        <v>41</v>
      </c>
      <c r="L502" s="6"/>
      <c r="M502" s="6"/>
      <c r="N502" s="6"/>
      <c r="O502" s="6"/>
      <c r="P502" s="6"/>
      <c r="Q502" s="6"/>
      <c r="R502" s="6"/>
      <c r="S502" s="6"/>
      <c r="T502" s="6"/>
      <c r="U502"/>
      <c r="V502"/>
      <c r="W502"/>
      <c r="X502"/>
    </row>
    <row r="503" spans="1:24" ht="33.75" x14ac:dyDescent="0.2">
      <c r="A503" s="18">
        <v>496</v>
      </c>
      <c r="B503" s="8" t="s">
        <v>502</v>
      </c>
      <c r="C503" s="5" t="s">
        <v>909</v>
      </c>
      <c r="D503" s="13">
        <v>142</v>
      </c>
      <c r="E503" s="7" t="s">
        <v>502</v>
      </c>
      <c r="F503" s="15" t="s">
        <v>696</v>
      </c>
      <c r="G503" s="20">
        <v>500</v>
      </c>
      <c r="H503" s="24">
        <f>230/1.12</f>
        <v>205.35714285714283</v>
      </c>
      <c r="I503" s="23">
        <f t="shared" si="8"/>
        <v>102678.57142857142</v>
      </c>
      <c r="J503" s="12" t="s">
        <v>43</v>
      </c>
      <c r="K503" s="12" t="s">
        <v>41</v>
      </c>
      <c r="L503" s="6"/>
      <c r="M503" s="6"/>
      <c r="N503" s="6"/>
      <c r="O503" s="6"/>
      <c r="P503" s="6"/>
      <c r="Q503" s="6"/>
      <c r="R503" s="6"/>
      <c r="S503" s="6"/>
      <c r="T503" s="6"/>
      <c r="U503"/>
      <c r="V503"/>
      <c r="W503"/>
      <c r="X503"/>
    </row>
    <row r="504" spans="1:24" ht="33.75" x14ac:dyDescent="0.2">
      <c r="A504" s="18">
        <v>497</v>
      </c>
      <c r="B504" s="8" t="s">
        <v>503</v>
      </c>
      <c r="C504" s="5" t="s">
        <v>909</v>
      </c>
      <c r="D504" s="13">
        <v>142</v>
      </c>
      <c r="E504" s="7" t="s">
        <v>503</v>
      </c>
      <c r="F504" s="15" t="s">
        <v>42</v>
      </c>
      <c r="G504" s="20">
        <v>2</v>
      </c>
      <c r="H504" s="24">
        <f>1250/1.12</f>
        <v>1116.0714285714284</v>
      </c>
      <c r="I504" s="23">
        <f t="shared" si="8"/>
        <v>2232.1428571428569</v>
      </c>
      <c r="J504" s="12" t="s">
        <v>43</v>
      </c>
      <c r="K504" s="12" t="s">
        <v>41</v>
      </c>
      <c r="L504" s="6"/>
      <c r="M504" s="6"/>
      <c r="N504" s="6"/>
      <c r="O504" s="6"/>
      <c r="P504" s="6"/>
      <c r="Q504" s="6"/>
      <c r="R504" s="6"/>
      <c r="S504" s="6"/>
      <c r="T504" s="6"/>
      <c r="U504"/>
      <c r="V504"/>
      <c r="W504"/>
      <c r="X504"/>
    </row>
    <row r="505" spans="1:24" ht="33.75" x14ac:dyDescent="0.2">
      <c r="A505" s="18">
        <v>498</v>
      </c>
      <c r="B505" s="8" t="s">
        <v>504</v>
      </c>
      <c r="C505" s="5" t="s">
        <v>909</v>
      </c>
      <c r="D505" s="13">
        <v>142</v>
      </c>
      <c r="E505" s="7" t="s">
        <v>504</v>
      </c>
      <c r="F505" s="15" t="s">
        <v>42</v>
      </c>
      <c r="G505" s="20">
        <v>2</v>
      </c>
      <c r="H505" s="24">
        <f>3500/1.12</f>
        <v>3124.9999999999995</v>
      </c>
      <c r="I505" s="23">
        <f t="shared" si="8"/>
        <v>6249.9999999999991</v>
      </c>
      <c r="J505" s="12" t="s">
        <v>43</v>
      </c>
      <c r="K505" s="12" t="s">
        <v>41</v>
      </c>
      <c r="L505" s="6"/>
      <c r="M505" s="6"/>
      <c r="N505" s="6"/>
      <c r="O505" s="6"/>
      <c r="P505" s="6"/>
      <c r="Q505" s="6"/>
      <c r="R505" s="6"/>
      <c r="S505" s="6"/>
      <c r="T505" s="6"/>
      <c r="U505"/>
      <c r="V505"/>
      <c r="W505"/>
      <c r="X505"/>
    </row>
    <row r="506" spans="1:24" ht="33.75" x14ac:dyDescent="0.2">
      <c r="A506" s="18">
        <v>499</v>
      </c>
      <c r="B506" s="8" t="s">
        <v>505</v>
      </c>
      <c r="C506" s="5" t="s">
        <v>909</v>
      </c>
      <c r="D506" s="13">
        <v>142</v>
      </c>
      <c r="E506" s="7" t="s">
        <v>505</v>
      </c>
      <c r="F506" s="15" t="s">
        <v>42</v>
      </c>
      <c r="G506" s="20">
        <v>4</v>
      </c>
      <c r="H506" s="24">
        <f>3000/1.12</f>
        <v>2678.5714285714284</v>
      </c>
      <c r="I506" s="23">
        <f t="shared" si="8"/>
        <v>10714.285714285714</v>
      </c>
      <c r="J506" s="12" t="s">
        <v>43</v>
      </c>
      <c r="K506" s="12" t="s">
        <v>41</v>
      </c>
      <c r="L506" s="6"/>
      <c r="M506" s="6"/>
      <c r="N506" s="6"/>
      <c r="O506" s="6"/>
      <c r="P506" s="6"/>
      <c r="Q506" s="6"/>
      <c r="R506" s="6"/>
      <c r="S506" s="6"/>
      <c r="T506" s="6"/>
      <c r="U506"/>
      <c r="V506"/>
      <c r="W506"/>
      <c r="X506"/>
    </row>
    <row r="507" spans="1:24" ht="33.75" x14ac:dyDescent="0.2">
      <c r="A507" s="18">
        <v>500</v>
      </c>
      <c r="B507" s="8" t="s">
        <v>506</v>
      </c>
      <c r="C507" s="5" t="s">
        <v>909</v>
      </c>
      <c r="D507" s="13">
        <v>142</v>
      </c>
      <c r="E507" s="7" t="s">
        <v>506</v>
      </c>
      <c r="F507" s="15" t="s">
        <v>42</v>
      </c>
      <c r="G507" s="20">
        <v>1</v>
      </c>
      <c r="H507" s="24">
        <f>450/1.12</f>
        <v>401.78571428571422</v>
      </c>
      <c r="I507" s="23">
        <f t="shared" si="8"/>
        <v>401.78571428571422</v>
      </c>
      <c r="J507" s="12" t="s">
        <v>43</v>
      </c>
      <c r="K507" s="12" t="s">
        <v>41</v>
      </c>
      <c r="L507" s="6"/>
      <c r="M507" s="6"/>
      <c r="N507" s="6"/>
      <c r="O507" s="6"/>
      <c r="P507" s="6"/>
      <c r="Q507" s="6"/>
      <c r="R507" s="6"/>
      <c r="S507" s="6"/>
      <c r="T507" s="6"/>
      <c r="U507"/>
      <c r="V507"/>
      <c r="W507"/>
      <c r="X507"/>
    </row>
    <row r="508" spans="1:24" ht="33.75" x14ac:dyDescent="0.2">
      <c r="A508" s="18">
        <v>501</v>
      </c>
      <c r="B508" s="8" t="s">
        <v>507</v>
      </c>
      <c r="C508" s="5" t="s">
        <v>909</v>
      </c>
      <c r="D508" s="13">
        <v>142</v>
      </c>
      <c r="E508" s="7" t="s">
        <v>507</v>
      </c>
      <c r="F508" s="15" t="s">
        <v>51</v>
      </c>
      <c r="G508" s="20">
        <v>1</v>
      </c>
      <c r="H508" s="24">
        <f>1640/1.12</f>
        <v>1464.2857142857142</v>
      </c>
      <c r="I508" s="23">
        <f t="shared" si="8"/>
        <v>1464.2857142857142</v>
      </c>
      <c r="J508" s="12" t="s">
        <v>43</v>
      </c>
      <c r="K508" s="12" t="s">
        <v>41</v>
      </c>
      <c r="L508" s="6"/>
      <c r="M508" s="6"/>
      <c r="N508" s="6"/>
      <c r="O508" s="6"/>
      <c r="P508" s="6"/>
      <c r="Q508" s="6"/>
      <c r="R508" s="6"/>
      <c r="S508" s="6"/>
      <c r="T508" s="6"/>
      <c r="U508"/>
      <c r="V508"/>
      <c r="W508"/>
      <c r="X508"/>
    </row>
    <row r="509" spans="1:24" ht="33.75" x14ac:dyDescent="0.2">
      <c r="A509" s="18">
        <v>502</v>
      </c>
      <c r="B509" s="8" t="s">
        <v>508</v>
      </c>
      <c r="C509" s="5" t="s">
        <v>909</v>
      </c>
      <c r="D509" s="13">
        <v>142</v>
      </c>
      <c r="E509" s="7" t="s">
        <v>508</v>
      </c>
      <c r="F509" s="15" t="s">
        <v>51</v>
      </c>
      <c r="G509" s="20">
        <v>1</v>
      </c>
      <c r="H509" s="24">
        <f>17401.12</f>
        <v>17401.12</v>
      </c>
      <c r="I509" s="23">
        <f t="shared" si="8"/>
        <v>17401.12</v>
      </c>
      <c r="J509" s="12" t="s">
        <v>43</v>
      </c>
      <c r="K509" s="12" t="s">
        <v>41</v>
      </c>
      <c r="L509" s="6"/>
      <c r="M509" s="6"/>
      <c r="N509" s="6"/>
      <c r="O509" s="6"/>
      <c r="P509" s="6"/>
      <c r="Q509" s="6"/>
      <c r="R509" s="6"/>
      <c r="S509" s="6"/>
      <c r="T509" s="6"/>
      <c r="U509"/>
      <c r="V509"/>
      <c r="W509"/>
      <c r="X509"/>
    </row>
    <row r="510" spans="1:24" ht="33.75" x14ac:dyDescent="0.2">
      <c r="A510" s="18">
        <v>503</v>
      </c>
      <c r="B510" s="8" t="s">
        <v>509</v>
      </c>
      <c r="C510" s="5" t="s">
        <v>909</v>
      </c>
      <c r="D510" s="13">
        <v>142</v>
      </c>
      <c r="E510" s="19" t="s">
        <v>658</v>
      </c>
      <c r="F510" s="15" t="s">
        <v>40</v>
      </c>
      <c r="G510" s="20">
        <v>3</v>
      </c>
      <c r="H510" s="24">
        <f>892.86/1.12</f>
        <v>797.19642857142856</v>
      </c>
      <c r="I510" s="23">
        <f t="shared" si="8"/>
        <v>2391.5892857142858</v>
      </c>
      <c r="J510" s="12" t="s">
        <v>43</v>
      </c>
      <c r="K510" s="12" t="s">
        <v>41</v>
      </c>
      <c r="L510" s="6"/>
      <c r="M510" s="6"/>
      <c r="N510" s="6"/>
      <c r="O510" s="6"/>
      <c r="P510" s="6"/>
      <c r="Q510" s="6"/>
      <c r="R510" s="6"/>
      <c r="S510" s="6"/>
      <c r="T510" s="6"/>
      <c r="U510"/>
      <c r="V510"/>
      <c r="W510"/>
      <c r="X510"/>
    </row>
    <row r="511" spans="1:24" ht="56.25" x14ac:dyDescent="0.2">
      <c r="A511" s="18">
        <v>504</v>
      </c>
      <c r="B511" s="21" t="s">
        <v>10</v>
      </c>
      <c r="C511" s="5" t="s">
        <v>909</v>
      </c>
      <c r="D511" s="13">
        <v>142</v>
      </c>
      <c r="E511" s="22" t="s">
        <v>10</v>
      </c>
      <c r="F511" s="9" t="s">
        <v>50</v>
      </c>
      <c r="G511" s="20">
        <v>40</v>
      </c>
      <c r="H511" s="24">
        <f>22232.14/1.12</f>
        <v>19850.124999999996</v>
      </c>
      <c r="I511" s="23">
        <f t="shared" si="8"/>
        <v>794004.99999999988</v>
      </c>
      <c r="J511" s="12" t="s">
        <v>43</v>
      </c>
      <c r="K511" s="12" t="s">
        <v>41</v>
      </c>
      <c r="L511" s="6"/>
      <c r="M511" s="6"/>
      <c r="N511" s="6"/>
      <c r="O511" s="6"/>
      <c r="P511" s="6"/>
      <c r="Q511" s="6"/>
      <c r="R511" s="6"/>
      <c r="S511" s="6"/>
      <c r="T511" s="6"/>
      <c r="U511"/>
      <c r="V511"/>
      <c r="W511"/>
      <c r="X511"/>
    </row>
    <row r="512" spans="1:24" ht="33.75" x14ac:dyDescent="0.2">
      <c r="A512" s="18">
        <v>505</v>
      </c>
      <c r="B512" s="21" t="s">
        <v>11</v>
      </c>
      <c r="C512" s="5" t="s">
        <v>909</v>
      </c>
      <c r="D512" s="13">
        <v>142</v>
      </c>
      <c r="E512" s="22" t="s">
        <v>11</v>
      </c>
      <c r="F512" s="15" t="s">
        <v>44</v>
      </c>
      <c r="G512" s="20">
        <v>12000</v>
      </c>
      <c r="H512" s="24">
        <f>26.79/1.12</f>
        <v>23.919642857142854</v>
      </c>
      <c r="I512" s="23">
        <f t="shared" si="8"/>
        <v>287035.71428571426</v>
      </c>
      <c r="J512" s="12" t="s">
        <v>43</v>
      </c>
      <c r="K512" s="12" t="s">
        <v>41</v>
      </c>
      <c r="L512" s="6"/>
      <c r="M512" s="6"/>
      <c r="N512" s="6"/>
      <c r="O512" s="6"/>
      <c r="P512" s="6"/>
      <c r="Q512" s="6"/>
      <c r="R512" s="6"/>
      <c r="S512" s="6"/>
      <c r="T512" s="6"/>
      <c r="U512"/>
      <c r="V512"/>
      <c r="W512"/>
      <c r="X512"/>
    </row>
    <row r="513" spans="1:24" ht="33.75" x14ac:dyDescent="0.2">
      <c r="A513" s="18">
        <v>506</v>
      </c>
      <c r="B513" s="21" t="s">
        <v>510</v>
      </c>
      <c r="C513" s="5" t="s">
        <v>909</v>
      </c>
      <c r="D513" s="13">
        <v>142</v>
      </c>
      <c r="E513" s="22" t="s">
        <v>511</v>
      </c>
      <c r="F513" s="15" t="s">
        <v>44</v>
      </c>
      <c r="G513" s="20">
        <v>10</v>
      </c>
      <c r="H513" s="24">
        <f>2933.04/1.12</f>
        <v>2618.7857142857142</v>
      </c>
      <c r="I513" s="23">
        <f t="shared" si="8"/>
        <v>26187.857142857141</v>
      </c>
      <c r="J513" s="12" t="s">
        <v>43</v>
      </c>
      <c r="K513" s="12" t="s">
        <v>41</v>
      </c>
      <c r="L513" s="6"/>
      <c r="M513" s="6"/>
      <c r="N513" s="6"/>
      <c r="O513" s="6"/>
      <c r="P513" s="6"/>
      <c r="Q513" s="6"/>
      <c r="R513" s="6"/>
      <c r="S513" s="6"/>
      <c r="T513" s="6"/>
      <c r="U513"/>
      <c r="V513"/>
      <c r="W513"/>
      <c r="X513"/>
    </row>
    <row r="514" spans="1:24" ht="33.75" x14ac:dyDescent="0.2">
      <c r="A514" s="18">
        <v>507</v>
      </c>
      <c r="B514" s="21" t="s">
        <v>511</v>
      </c>
      <c r="C514" s="5" t="s">
        <v>909</v>
      </c>
      <c r="D514" s="13">
        <v>142</v>
      </c>
      <c r="E514" s="22" t="s">
        <v>858</v>
      </c>
      <c r="F514" s="15" t="s">
        <v>44</v>
      </c>
      <c r="G514" s="20">
        <v>5</v>
      </c>
      <c r="H514" s="24">
        <f>14732.14/1.12</f>
        <v>13153.696428571428</v>
      </c>
      <c r="I514" s="23">
        <f t="shared" si="8"/>
        <v>65768.48214285713</v>
      </c>
      <c r="J514" s="12" t="s">
        <v>43</v>
      </c>
      <c r="K514" s="12" t="s">
        <v>41</v>
      </c>
      <c r="L514" s="6"/>
      <c r="M514" s="6"/>
      <c r="N514" s="6"/>
      <c r="O514" s="6"/>
      <c r="P514" s="6"/>
      <c r="Q514" s="6"/>
      <c r="R514" s="6"/>
      <c r="S514" s="6"/>
      <c r="T514" s="6"/>
      <c r="U514"/>
      <c r="V514"/>
      <c r="W514"/>
      <c r="X514"/>
    </row>
    <row r="515" spans="1:24" ht="33.75" x14ac:dyDescent="0.2">
      <c r="A515" s="18">
        <v>508</v>
      </c>
      <c r="B515" s="21" t="s">
        <v>512</v>
      </c>
      <c r="C515" s="5" t="s">
        <v>909</v>
      </c>
      <c r="D515" s="13">
        <v>142</v>
      </c>
      <c r="E515" s="21" t="s">
        <v>512</v>
      </c>
      <c r="F515" s="15" t="s">
        <v>42</v>
      </c>
      <c r="G515" s="20">
        <v>4</v>
      </c>
      <c r="H515" s="24">
        <f>240/1.12</f>
        <v>214.28571428571428</v>
      </c>
      <c r="I515" s="23">
        <f t="shared" si="8"/>
        <v>857.14285714285711</v>
      </c>
      <c r="J515" s="12" t="s">
        <v>43</v>
      </c>
      <c r="K515" s="12" t="s">
        <v>41</v>
      </c>
      <c r="L515" s="6"/>
      <c r="M515" s="6"/>
      <c r="N515" s="6"/>
      <c r="O515" s="6"/>
      <c r="P515" s="6"/>
      <c r="Q515" s="6"/>
      <c r="R515" s="6"/>
      <c r="S515" s="6"/>
      <c r="T515" s="6"/>
      <c r="U515"/>
      <c r="V515"/>
      <c r="W515"/>
      <c r="X515"/>
    </row>
    <row r="516" spans="1:24" ht="33.75" x14ac:dyDescent="0.2">
      <c r="A516" s="18">
        <v>509</v>
      </c>
      <c r="B516" s="21" t="s">
        <v>513</v>
      </c>
      <c r="C516" s="5" t="s">
        <v>909</v>
      </c>
      <c r="D516" s="13">
        <v>142</v>
      </c>
      <c r="E516" s="21" t="s">
        <v>513</v>
      </c>
      <c r="F516" s="15" t="s">
        <v>42</v>
      </c>
      <c r="G516" s="20">
        <v>4</v>
      </c>
      <c r="H516" s="24">
        <f>260/1.12</f>
        <v>232.14285714285711</v>
      </c>
      <c r="I516" s="23">
        <f t="shared" si="8"/>
        <v>928.57142857142844</v>
      </c>
      <c r="J516" s="12" t="s">
        <v>43</v>
      </c>
      <c r="K516" s="12" t="s">
        <v>41</v>
      </c>
      <c r="L516" s="6"/>
      <c r="M516" s="6"/>
      <c r="N516" s="6"/>
      <c r="O516" s="6"/>
      <c r="P516" s="6"/>
      <c r="Q516" s="6"/>
      <c r="R516" s="6"/>
      <c r="S516" s="6"/>
      <c r="T516" s="6"/>
      <c r="U516"/>
      <c r="V516"/>
      <c r="W516"/>
      <c r="X516"/>
    </row>
    <row r="517" spans="1:24" ht="33.75" x14ac:dyDescent="0.2">
      <c r="A517" s="18">
        <v>510</v>
      </c>
      <c r="B517" s="21" t="s">
        <v>514</v>
      </c>
      <c r="C517" s="5" t="s">
        <v>909</v>
      </c>
      <c r="D517" s="13">
        <v>142</v>
      </c>
      <c r="E517" s="21" t="s">
        <v>514</v>
      </c>
      <c r="F517" s="15" t="s">
        <v>42</v>
      </c>
      <c r="G517" s="20">
        <v>5</v>
      </c>
      <c r="H517" s="24">
        <f>450/1.12</f>
        <v>401.78571428571422</v>
      </c>
      <c r="I517" s="23">
        <f t="shared" si="8"/>
        <v>2008.9285714285711</v>
      </c>
      <c r="J517" s="12" t="s">
        <v>43</v>
      </c>
      <c r="K517" s="12" t="s">
        <v>41</v>
      </c>
      <c r="L517" s="6"/>
      <c r="M517" s="6"/>
      <c r="N517" s="6"/>
      <c r="O517" s="6"/>
      <c r="P517" s="6"/>
      <c r="Q517" s="6"/>
      <c r="R517" s="6"/>
      <c r="S517" s="6"/>
      <c r="T517" s="6"/>
      <c r="U517"/>
      <c r="V517"/>
      <c r="W517"/>
      <c r="X517"/>
    </row>
    <row r="518" spans="1:24" ht="33.75" x14ac:dyDescent="0.2">
      <c r="A518" s="18">
        <v>511</v>
      </c>
      <c r="B518" s="21" t="s">
        <v>515</v>
      </c>
      <c r="C518" s="5" t="s">
        <v>909</v>
      </c>
      <c r="D518" s="13">
        <v>142</v>
      </c>
      <c r="E518" s="21" t="s">
        <v>515</v>
      </c>
      <c r="F518" s="15" t="s">
        <v>42</v>
      </c>
      <c r="G518" s="20">
        <v>5</v>
      </c>
      <c r="H518" s="24">
        <f>460/1.12</f>
        <v>410.71428571428567</v>
      </c>
      <c r="I518" s="23">
        <f t="shared" si="8"/>
        <v>2053.5714285714284</v>
      </c>
      <c r="J518" s="12" t="s">
        <v>43</v>
      </c>
      <c r="K518" s="12" t="s">
        <v>41</v>
      </c>
      <c r="L518" s="6"/>
      <c r="M518" s="6"/>
      <c r="N518" s="6"/>
      <c r="O518" s="6"/>
      <c r="P518" s="6"/>
      <c r="Q518" s="6"/>
      <c r="R518" s="6"/>
      <c r="S518" s="6"/>
      <c r="T518" s="6"/>
      <c r="U518"/>
      <c r="V518"/>
      <c r="W518"/>
      <c r="X518"/>
    </row>
    <row r="519" spans="1:24" ht="33.75" x14ac:dyDescent="0.2">
      <c r="A519" s="18">
        <v>512</v>
      </c>
      <c r="B519" s="21" t="s">
        <v>516</v>
      </c>
      <c r="C519" s="5" t="s">
        <v>909</v>
      </c>
      <c r="D519" s="13">
        <v>142</v>
      </c>
      <c r="E519" s="21" t="s">
        <v>516</v>
      </c>
      <c r="F519" s="15" t="s">
        <v>42</v>
      </c>
      <c r="G519" s="20">
        <v>1</v>
      </c>
      <c r="H519" s="24">
        <f>3500/1.12</f>
        <v>3124.9999999999995</v>
      </c>
      <c r="I519" s="23">
        <f t="shared" si="8"/>
        <v>3124.9999999999995</v>
      </c>
      <c r="J519" s="12" t="s">
        <v>43</v>
      </c>
      <c r="K519" s="12" t="s">
        <v>41</v>
      </c>
      <c r="L519" s="6"/>
      <c r="M519" s="6"/>
      <c r="N519" s="6"/>
      <c r="O519" s="6"/>
      <c r="P519" s="6"/>
      <c r="Q519" s="6"/>
      <c r="R519" s="6"/>
      <c r="S519" s="6"/>
      <c r="T519" s="6"/>
      <c r="U519"/>
      <c r="V519"/>
      <c r="W519"/>
      <c r="X519"/>
    </row>
    <row r="520" spans="1:24" ht="33.75" x14ac:dyDescent="0.2">
      <c r="A520" s="18">
        <v>513</v>
      </c>
      <c r="B520" s="21" t="s">
        <v>859</v>
      </c>
      <c r="C520" s="5" t="s">
        <v>909</v>
      </c>
      <c r="D520" s="13">
        <v>142</v>
      </c>
      <c r="E520" s="21" t="s">
        <v>859</v>
      </c>
      <c r="F520" s="15" t="s">
        <v>42</v>
      </c>
      <c r="G520" s="20">
        <v>2</v>
      </c>
      <c r="H520" s="24">
        <f>245/1.12</f>
        <v>218.74999999999997</v>
      </c>
      <c r="I520" s="23">
        <f t="shared" si="8"/>
        <v>437.49999999999994</v>
      </c>
      <c r="J520" s="12" t="s">
        <v>43</v>
      </c>
      <c r="K520" s="12" t="s">
        <v>41</v>
      </c>
      <c r="L520" s="6"/>
      <c r="M520" s="6"/>
      <c r="N520" s="6"/>
      <c r="O520" s="6"/>
      <c r="P520" s="6"/>
      <c r="Q520" s="6"/>
      <c r="R520" s="6"/>
      <c r="S520" s="6"/>
      <c r="T520" s="6"/>
      <c r="U520"/>
      <c r="V520"/>
      <c r="W520"/>
      <c r="X520"/>
    </row>
    <row r="521" spans="1:24" ht="33.75" x14ac:dyDescent="0.2">
      <c r="A521" s="18">
        <v>514</v>
      </c>
      <c r="B521" s="21" t="s">
        <v>517</v>
      </c>
      <c r="C521" s="5" t="s">
        <v>909</v>
      </c>
      <c r="D521" s="13">
        <v>142</v>
      </c>
      <c r="E521" s="21" t="s">
        <v>517</v>
      </c>
      <c r="F521" s="15" t="s">
        <v>42</v>
      </c>
      <c r="G521" s="20">
        <v>2</v>
      </c>
      <c r="H521" s="24">
        <f>260/1.12</f>
        <v>232.14285714285711</v>
      </c>
      <c r="I521" s="23">
        <f t="shared" si="8"/>
        <v>464.28571428571422</v>
      </c>
      <c r="J521" s="12" t="s">
        <v>43</v>
      </c>
      <c r="K521" s="12" t="s">
        <v>41</v>
      </c>
      <c r="L521" s="6"/>
      <c r="M521" s="6"/>
      <c r="N521" s="6"/>
      <c r="O521" s="6"/>
      <c r="P521" s="6"/>
      <c r="Q521" s="6"/>
      <c r="R521" s="6"/>
      <c r="S521" s="6"/>
      <c r="T521" s="6"/>
      <c r="U521"/>
      <c r="V521"/>
      <c r="W521"/>
      <c r="X521"/>
    </row>
    <row r="522" spans="1:24" ht="33.75" x14ac:dyDescent="0.2">
      <c r="A522" s="18">
        <v>515</v>
      </c>
      <c r="B522" s="21" t="s">
        <v>518</v>
      </c>
      <c r="C522" s="5" t="s">
        <v>909</v>
      </c>
      <c r="D522" s="13">
        <v>142</v>
      </c>
      <c r="E522" s="21" t="s">
        <v>518</v>
      </c>
      <c r="F522" s="15" t="s">
        <v>42</v>
      </c>
      <c r="G522" s="20">
        <v>2</v>
      </c>
      <c r="H522" s="24">
        <f>260/1.12</f>
        <v>232.14285714285711</v>
      </c>
      <c r="I522" s="23">
        <f t="shared" si="8"/>
        <v>464.28571428571422</v>
      </c>
      <c r="J522" s="12" t="s">
        <v>43</v>
      </c>
      <c r="K522" s="12" t="s">
        <v>41</v>
      </c>
      <c r="L522" s="6"/>
      <c r="M522" s="6"/>
      <c r="N522" s="6"/>
      <c r="O522" s="6"/>
      <c r="P522" s="6"/>
      <c r="Q522" s="6"/>
      <c r="R522" s="6"/>
      <c r="S522" s="6"/>
      <c r="T522" s="6"/>
      <c r="U522"/>
      <c r="V522"/>
      <c r="W522"/>
      <c r="X522"/>
    </row>
    <row r="523" spans="1:24" ht="33.75" x14ac:dyDescent="0.2">
      <c r="A523" s="18">
        <v>516</v>
      </c>
      <c r="B523" s="21" t="s">
        <v>519</v>
      </c>
      <c r="C523" s="5" t="s">
        <v>909</v>
      </c>
      <c r="D523" s="13">
        <v>142</v>
      </c>
      <c r="E523" s="21" t="s">
        <v>519</v>
      </c>
      <c r="F523" s="15" t="s">
        <v>42</v>
      </c>
      <c r="G523" s="20">
        <v>5</v>
      </c>
      <c r="H523" s="24">
        <f>545/1.12</f>
        <v>486.60714285714283</v>
      </c>
      <c r="I523" s="23">
        <f t="shared" si="8"/>
        <v>2433.0357142857142</v>
      </c>
      <c r="J523" s="12" t="s">
        <v>43</v>
      </c>
      <c r="K523" s="12" t="s">
        <v>41</v>
      </c>
      <c r="L523" s="6"/>
      <c r="M523" s="6"/>
      <c r="N523" s="6"/>
      <c r="O523" s="6"/>
      <c r="P523" s="6"/>
      <c r="Q523" s="6"/>
      <c r="R523" s="6"/>
      <c r="S523" s="6"/>
      <c r="T523" s="6"/>
      <c r="U523"/>
      <c r="V523"/>
      <c r="W523"/>
      <c r="X523"/>
    </row>
    <row r="524" spans="1:24" ht="33.75" x14ac:dyDescent="0.2">
      <c r="A524" s="18">
        <v>517</v>
      </c>
      <c r="B524" s="21" t="s">
        <v>520</v>
      </c>
      <c r="C524" s="5" t="s">
        <v>909</v>
      </c>
      <c r="D524" s="13">
        <v>142</v>
      </c>
      <c r="E524" s="21" t="s">
        <v>520</v>
      </c>
      <c r="F524" s="15" t="s">
        <v>42</v>
      </c>
      <c r="G524" s="20">
        <v>6</v>
      </c>
      <c r="H524" s="24">
        <f>450/1.12</f>
        <v>401.78571428571422</v>
      </c>
      <c r="I524" s="23">
        <f t="shared" si="8"/>
        <v>2410.7142857142853</v>
      </c>
      <c r="J524" s="12" t="s">
        <v>43</v>
      </c>
      <c r="K524" s="12" t="s">
        <v>41</v>
      </c>
      <c r="L524" s="6"/>
      <c r="M524" s="6"/>
      <c r="N524" s="6"/>
      <c r="O524" s="6"/>
      <c r="P524" s="6"/>
      <c r="Q524" s="6"/>
      <c r="R524" s="6"/>
      <c r="S524" s="6"/>
      <c r="T524" s="6"/>
      <c r="U524"/>
      <c r="V524"/>
      <c r="W524"/>
      <c r="X524"/>
    </row>
    <row r="525" spans="1:24" ht="33.75" x14ac:dyDescent="0.2">
      <c r="A525" s="18">
        <v>518</v>
      </c>
      <c r="B525" s="21" t="s">
        <v>521</v>
      </c>
      <c r="C525" s="5" t="s">
        <v>909</v>
      </c>
      <c r="D525" s="13">
        <v>142</v>
      </c>
      <c r="E525" s="21" t="s">
        <v>521</v>
      </c>
      <c r="F525" s="15" t="s">
        <v>42</v>
      </c>
      <c r="G525" s="20">
        <v>6</v>
      </c>
      <c r="H525" s="24">
        <f>540/1.12</f>
        <v>482.14285714285711</v>
      </c>
      <c r="I525" s="23">
        <f t="shared" si="8"/>
        <v>2892.8571428571427</v>
      </c>
      <c r="J525" s="12" t="s">
        <v>43</v>
      </c>
      <c r="K525" s="12" t="s">
        <v>41</v>
      </c>
      <c r="L525" s="6"/>
      <c r="M525" s="6"/>
      <c r="N525" s="6"/>
      <c r="O525" s="6"/>
      <c r="P525" s="6"/>
      <c r="Q525" s="6"/>
      <c r="R525" s="6"/>
      <c r="S525" s="6"/>
      <c r="T525" s="6"/>
      <c r="U525"/>
      <c r="V525"/>
      <c r="W525"/>
      <c r="X525"/>
    </row>
    <row r="526" spans="1:24" ht="33.75" x14ac:dyDescent="0.2">
      <c r="A526" s="18">
        <v>519</v>
      </c>
      <c r="B526" s="21" t="s">
        <v>522</v>
      </c>
      <c r="C526" s="5" t="s">
        <v>909</v>
      </c>
      <c r="D526" s="13">
        <v>142</v>
      </c>
      <c r="E526" s="21" t="s">
        <v>522</v>
      </c>
      <c r="F526" s="15" t="s">
        <v>42</v>
      </c>
      <c r="G526" s="20">
        <v>6</v>
      </c>
      <c r="H526" s="24">
        <f>450/1.12</f>
        <v>401.78571428571422</v>
      </c>
      <c r="I526" s="23">
        <f t="shared" si="8"/>
        <v>2410.7142857142853</v>
      </c>
      <c r="J526" s="12" t="s">
        <v>43</v>
      </c>
      <c r="K526" s="12" t="s">
        <v>41</v>
      </c>
      <c r="L526" s="6"/>
      <c r="M526" s="6"/>
      <c r="N526" s="6"/>
      <c r="O526" s="6"/>
      <c r="P526" s="6"/>
      <c r="Q526" s="6"/>
      <c r="R526" s="6"/>
      <c r="S526" s="6"/>
      <c r="T526" s="6"/>
      <c r="U526"/>
      <c r="V526"/>
      <c r="W526"/>
      <c r="X526"/>
    </row>
    <row r="527" spans="1:24" ht="33.75" x14ac:dyDescent="0.2">
      <c r="A527" s="18">
        <v>520</v>
      </c>
      <c r="B527" s="21" t="s">
        <v>523</v>
      </c>
      <c r="C527" s="5" t="s">
        <v>909</v>
      </c>
      <c r="D527" s="13">
        <v>142</v>
      </c>
      <c r="E527" s="21" t="s">
        <v>523</v>
      </c>
      <c r="F527" s="15" t="s">
        <v>42</v>
      </c>
      <c r="G527" s="20">
        <v>6</v>
      </c>
      <c r="H527" s="24">
        <f>250/1.12</f>
        <v>223.21428571428569</v>
      </c>
      <c r="I527" s="23">
        <f t="shared" ref="I527:I590" si="9">G527*H527</f>
        <v>1339.2857142857142</v>
      </c>
      <c r="J527" s="12" t="s">
        <v>43</v>
      </c>
      <c r="K527" s="12" t="s">
        <v>41</v>
      </c>
      <c r="L527" s="6"/>
      <c r="M527" s="6"/>
      <c r="N527" s="6"/>
      <c r="O527" s="6"/>
      <c r="P527" s="6"/>
      <c r="Q527" s="6"/>
      <c r="R527" s="6"/>
      <c r="S527" s="6"/>
      <c r="T527" s="6"/>
      <c r="U527"/>
      <c r="V527"/>
      <c r="W527"/>
      <c r="X527"/>
    </row>
    <row r="528" spans="1:24" ht="33.75" x14ac:dyDescent="0.2">
      <c r="A528" s="18">
        <v>521</v>
      </c>
      <c r="B528" s="21" t="s">
        <v>524</v>
      </c>
      <c r="C528" s="5" t="s">
        <v>909</v>
      </c>
      <c r="D528" s="13">
        <v>142</v>
      </c>
      <c r="E528" s="21" t="s">
        <v>524</v>
      </c>
      <c r="F528" s="15" t="s">
        <v>42</v>
      </c>
      <c r="G528" s="20">
        <v>4</v>
      </c>
      <c r="H528" s="24">
        <f>300/1.12</f>
        <v>267.85714285714283</v>
      </c>
      <c r="I528" s="23">
        <f t="shared" si="9"/>
        <v>1071.4285714285713</v>
      </c>
      <c r="J528" s="12" t="s">
        <v>43</v>
      </c>
      <c r="K528" s="12" t="s">
        <v>41</v>
      </c>
      <c r="L528" s="6"/>
      <c r="M528" s="6"/>
      <c r="N528" s="6"/>
      <c r="O528" s="6"/>
      <c r="P528" s="6"/>
      <c r="Q528" s="6"/>
      <c r="R528" s="6"/>
      <c r="S528" s="6"/>
      <c r="T528" s="6"/>
      <c r="U528"/>
      <c r="V528"/>
      <c r="W528"/>
      <c r="X528"/>
    </row>
    <row r="529" spans="1:24" ht="33.75" x14ac:dyDescent="0.2">
      <c r="A529" s="18">
        <v>522</v>
      </c>
      <c r="B529" s="21" t="s">
        <v>525</v>
      </c>
      <c r="C529" s="5" t="s">
        <v>909</v>
      </c>
      <c r="D529" s="13">
        <v>142</v>
      </c>
      <c r="E529" s="21" t="s">
        <v>525</v>
      </c>
      <c r="F529" s="15" t="s">
        <v>42</v>
      </c>
      <c r="G529" s="20">
        <v>1500</v>
      </c>
      <c r="H529" s="24">
        <f>75/1.12</f>
        <v>66.964285714285708</v>
      </c>
      <c r="I529" s="23">
        <f t="shared" si="9"/>
        <v>100446.42857142857</v>
      </c>
      <c r="J529" s="12" t="s">
        <v>43</v>
      </c>
      <c r="K529" s="12" t="s">
        <v>41</v>
      </c>
      <c r="L529" s="6"/>
      <c r="M529" s="6"/>
      <c r="N529" s="6"/>
      <c r="O529" s="6"/>
      <c r="P529" s="6"/>
      <c r="Q529" s="6"/>
      <c r="R529" s="6"/>
      <c r="S529" s="6"/>
      <c r="T529" s="6"/>
      <c r="U529"/>
      <c r="V529"/>
      <c r="W529"/>
      <c r="X529"/>
    </row>
    <row r="530" spans="1:24" ht="33.75" x14ac:dyDescent="0.2">
      <c r="A530" s="18">
        <v>523</v>
      </c>
      <c r="B530" s="21" t="s">
        <v>526</v>
      </c>
      <c r="C530" s="5" t="s">
        <v>909</v>
      </c>
      <c r="D530" s="13">
        <v>142</v>
      </c>
      <c r="E530" s="21" t="s">
        <v>526</v>
      </c>
      <c r="F530" s="15" t="s">
        <v>42</v>
      </c>
      <c r="G530" s="20">
        <v>150</v>
      </c>
      <c r="H530" s="24">
        <f>350/1.12</f>
        <v>312.49999999999994</v>
      </c>
      <c r="I530" s="23">
        <f t="shared" si="9"/>
        <v>46874.999999999993</v>
      </c>
      <c r="J530" s="12" t="s">
        <v>43</v>
      </c>
      <c r="K530" s="12" t="s">
        <v>41</v>
      </c>
      <c r="L530" s="6"/>
      <c r="M530" s="6"/>
      <c r="N530" s="6"/>
      <c r="O530" s="6"/>
      <c r="P530" s="6"/>
      <c r="Q530" s="6"/>
      <c r="R530" s="6"/>
      <c r="S530" s="6"/>
      <c r="T530" s="6"/>
      <c r="U530"/>
      <c r="V530"/>
      <c r="W530"/>
      <c r="X530"/>
    </row>
    <row r="531" spans="1:24" ht="33.75" x14ac:dyDescent="0.2">
      <c r="A531" s="18">
        <v>524</v>
      </c>
      <c r="B531" s="21" t="s">
        <v>527</v>
      </c>
      <c r="C531" s="5" t="s">
        <v>909</v>
      </c>
      <c r="D531" s="13">
        <v>142</v>
      </c>
      <c r="E531" s="21" t="s">
        <v>527</v>
      </c>
      <c r="F531" s="15" t="s">
        <v>42</v>
      </c>
      <c r="G531" s="20">
        <v>300</v>
      </c>
      <c r="H531" s="24">
        <f>150/1.12</f>
        <v>133.92857142857142</v>
      </c>
      <c r="I531" s="23">
        <f t="shared" si="9"/>
        <v>40178.571428571428</v>
      </c>
      <c r="J531" s="12" t="s">
        <v>43</v>
      </c>
      <c r="K531" s="12" t="s">
        <v>41</v>
      </c>
      <c r="L531" s="6"/>
      <c r="M531" s="6"/>
      <c r="N531" s="6"/>
      <c r="O531" s="6"/>
      <c r="P531" s="6"/>
      <c r="Q531" s="6"/>
      <c r="R531" s="6"/>
      <c r="S531" s="6"/>
      <c r="T531" s="6"/>
      <c r="U531"/>
      <c r="V531"/>
      <c r="W531"/>
      <c r="X531"/>
    </row>
    <row r="532" spans="1:24" ht="33.75" x14ac:dyDescent="0.2">
      <c r="A532" s="18">
        <v>525</v>
      </c>
      <c r="B532" s="21" t="s">
        <v>528</v>
      </c>
      <c r="C532" s="5" t="s">
        <v>909</v>
      </c>
      <c r="D532" s="13">
        <v>142</v>
      </c>
      <c r="E532" s="21" t="s">
        <v>528</v>
      </c>
      <c r="F532" s="15" t="s">
        <v>42</v>
      </c>
      <c r="G532" s="20">
        <v>1</v>
      </c>
      <c r="H532" s="24">
        <f>3500/1.12</f>
        <v>3124.9999999999995</v>
      </c>
      <c r="I532" s="23">
        <f t="shared" si="9"/>
        <v>3124.9999999999995</v>
      </c>
      <c r="J532" s="12" t="s">
        <v>43</v>
      </c>
      <c r="K532" s="12" t="s">
        <v>41</v>
      </c>
      <c r="L532" s="6"/>
      <c r="M532" s="6"/>
      <c r="N532" s="6"/>
      <c r="O532" s="6"/>
      <c r="P532" s="6"/>
      <c r="Q532" s="6"/>
      <c r="R532" s="6"/>
      <c r="S532" s="6"/>
      <c r="T532" s="6"/>
      <c r="U532"/>
      <c r="V532"/>
      <c r="W532"/>
      <c r="X532"/>
    </row>
    <row r="533" spans="1:24" ht="33.75" x14ac:dyDescent="0.2">
      <c r="A533" s="18">
        <v>526</v>
      </c>
      <c r="B533" s="21" t="s">
        <v>529</v>
      </c>
      <c r="C533" s="5" t="s">
        <v>909</v>
      </c>
      <c r="D533" s="13">
        <v>142</v>
      </c>
      <c r="E533" s="21" t="s">
        <v>529</v>
      </c>
      <c r="F533" s="15" t="s">
        <v>42</v>
      </c>
      <c r="G533" s="20">
        <v>30</v>
      </c>
      <c r="H533" s="24">
        <f>120/1.12</f>
        <v>107.14285714285714</v>
      </c>
      <c r="I533" s="23">
        <f t="shared" si="9"/>
        <v>3214.2857142857142</v>
      </c>
      <c r="J533" s="12" t="s">
        <v>43</v>
      </c>
      <c r="K533" s="12" t="s">
        <v>41</v>
      </c>
      <c r="L533" s="6"/>
      <c r="M533" s="6"/>
      <c r="N533" s="6"/>
      <c r="O533" s="6"/>
      <c r="P533" s="6"/>
      <c r="Q533" s="6"/>
      <c r="R533" s="6"/>
      <c r="S533" s="6"/>
      <c r="T533" s="6"/>
      <c r="U533"/>
      <c r="V533"/>
      <c r="W533"/>
      <c r="X533"/>
    </row>
    <row r="534" spans="1:24" ht="33.75" x14ac:dyDescent="0.2">
      <c r="A534" s="18">
        <v>527</v>
      </c>
      <c r="B534" s="21" t="s">
        <v>530</v>
      </c>
      <c r="C534" s="5" t="s">
        <v>909</v>
      </c>
      <c r="D534" s="13">
        <v>142</v>
      </c>
      <c r="E534" s="21" t="s">
        <v>530</v>
      </c>
      <c r="F534" s="15" t="s">
        <v>42</v>
      </c>
      <c r="G534" s="20">
        <v>1</v>
      </c>
      <c r="H534" s="24">
        <f>2500/1.12</f>
        <v>2232.1428571428569</v>
      </c>
      <c r="I534" s="23">
        <f t="shared" si="9"/>
        <v>2232.1428571428569</v>
      </c>
      <c r="J534" s="12" t="s">
        <v>43</v>
      </c>
      <c r="K534" s="12" t="s">
        <v>41</v>
      </c>
      <c r="L534" s="6"/>
      <c r="M534" s="6"/>
      <c r="N534" s="6"/>
      <c r="O534" s="6"/>
      <c r="P534" s="6"/>
      <c r="Q534" s="6"/>
      <c r="R534" s="6"/>
      <c r="S534" s="6"/>
      <c r="T534" s="6"/>
      <c r="U534"/>
      <c r="V534"/>
      <c r="W534"/>
      <c r="X534"/>
    </row>
    <row r="535" spans="1:24" ht="33.75" x14ac:dyDescent="0.2">
      <c r="A535" s="18">
        <v>528</v>
      </c>
      <c r="B535" s="21" t="s">
        <v>531</v>
      </c>
      <c r="C535" s="5" t="s">
        <v>909</v>
      </c>
      <c r="D535" s="13">
        <v>142</v>
      </c>
      <c r="E535" s="21" t="s">
        <v>531</v>
      </c>
      <c r="F535" s="15" t="s">
        <v>42</v>
      </c>
      <c r="G535" s="20">
        <v>2</v>
      </c>
      <c r="H535" s="24">
        <f>450/1.12</f>
        <v>401.78571428571422</v>
      </c>
      <c r="I535" s="23">
        <f t="shared" si="9"/>
        <v>803.57142857142844</v>
      </c>
      <c r="J535" s="12" t="s">
        <v>43</v>
      </c>
      <c r="K535" s="12" t="s">
        <v>41</v>
      </c>
      <c r="L535" s="6"/>
      <c r="M535" s="6"/>
      <c r="N535" s="6"/>
      <c r="O535" s="6"/>
      <c r="P535" s="6"/>
      <c r="Q535" s="6"/>
      <c r="R535" s="6"/>
      <c r="S535" s="6"/>
      <c r="T535" s="6"/>
      <c r="U535"/>
      <c r="V535"/>
      <c r="W535"/>
      <c r="X535"/>
    </row>
    <row r="536" spans="1:24" ht="33.75" x14ac:dyDescent="0.2">
      <c r="A536" s="18">
        <v>529</v>
      </c>
      <c r="B536" s="21" t="s">
        <v>532</v>
      </c>
      <c r="C536" s="5" t="s">
        <v>909</v>
      </c>
      <c r="D536" s="13">
        <v>142</v>
      </c>
      <c r="E536" s="21" t="s">
        <v>532</v>
      </c>
      <c r="F536" s="15" t="s">
        <v>42</v>
      </c>
      <c r="G536" s="20">
        <v>3</v>
      </c>
      <c r="H536" s="24">
        <f>880/1.12</f>
        <v>785.71428571428567</v>
      </c>
      <c r="I536" s="23">
        <f t="shared" si="9"/>
        <v>2357.1428571428569</v>
      </c>
      <c r="J536" s="12" t="s">
        <v>43</v>
      </c>
      <c r="K536" s="12" t="s">
        <v>41</v>
      </c>
      <c r="L536" s="6"/>
      <c r="M536" s="6"/>
      <c r="N536" s="6"/>
      <c r="O536" s="6"/>
      <c r="P536" s="6"/>
      <c r="Q536" s="6"/>
      <c r="R536" s="6"/>
      <c r="S536" s="6"/>
      <c r="T536" s="6"/>
      <c r="U536"/>
      <c r="V536"/>
      <c r="W536"/>
      <c r="X536"/>
    </row>
    <row r="537" spans="1:24" ht="33.75" x14ac:dyDescent="0.2">
      <c r="A537" s="18">
        <v>530</v>
      </c>
      <c r="B537" s="21" t="s">
        <v>533</v>
      </c>
      <c r="C537" s="5" t="s">
        <v>909</v>
      </c>
      <c r="D537" s="13">
        <v>142</v>
      </c>
      <c r="E537" s="21" t="s">
        <v>533</v>
      </c>
      <c r="F537" s="15" t="s">
        <v>40</v>
      </c>
      <c r="G537" s="20">
        <v>1</v>
      </c>
      <c r="H537" s="24">
        <f>500/1.12</f>
        <v>446.42857142857139</v>
      </c>
      <c r="I537" s="23">
        <f t="shared" si="9"/>
        <v>446.42857142857139</v>
      </c>
      <c r="J537" s="12" t="s">
        <v>43</v>
      </c>
      <c r="K537" s="12" t="s">
        <v>41</v>
      </c>
      <c r="L537" s="6"/>
      <c r="M537" s="6"/>
      <c r="N537" s="6"/>
      <c r="O537" s="6"/>
      <c r="P537" s="6"/>
      <c r="Q537" s="6"/>
      <c r="R537" s="6"/>
      <c r="S537" s="6"/>
      <c r="T537" s="6"/>
      <c r="U537"/>
      <c r="V537"/>
      <c r="W537"/>
      <c r="X537"/>
    </row>
    <row r="538" spans="1:24" ht="33.75" x14ac:dyDescent="0.2">
      <c r="A538" s="18">
        <v>531</v>
      </c>
      <c r="B538" s="21" t="s">
        <v>534</v>
      </c>
      <c r="C538" s="5" t="s">
        <v>909</v>
      </c>
      <c r="D538" s="13">
        <v>142</v>
      </c>
      <c r="E538" s="21" t="s">
        <v>534</v>
      </c>
      <c r="F538" s="15" t="s">
        <v>42</v>
      </c>
      <c r="G538" s="20">
        <v>1</v>
      </c>
      <c r="H538" s="24">
        <f>2300/1.12</f>
        <v>2053.5714285714284</v>
      </c>
      <c r="I538" s="23">
        <f t="shared" si="9"/>
        <v>2053.5714285714284</v>
      </c>
      <c r="J538" s="12" t="s">
        <v>43</v>
      </c>
      <c r="K538" s="12" t="s">
        <v>41</v>
      </c>
      <c r="L538" s="6"/>
      <c r="M538" s="6"/>
      <c r="N538" s="6"/>
      <c r="O538" s="6"/>
      <c r="P538" s="6"/>
      <c r="Q538" s="6"/>
      <c r="R538" s="6"/>
      <c r="S538" s="6"/>
      <c r="T538" s="6"/>
      <c r="U538"/>
      <c r="V538"/>
      <c r="W538"/>
      <c r="X538"/>
    </row>
    <row r="539" spans="1:24" ht="33.75" x14ac:dyDescent="0.2">
      <c r="A539" s="18">
        <v>532</v>
      </c>
      <c r="B539" s="21" t="s">
        <v>535</v>
      </c>
      <c r="C539" s="5" t="s">
        <v>909</v>
      </c>
      <c r="D539" s="13">
        <v>142</v>
      </c>
      <c r="E539" s="21" t="s">
        <v>535</v>
      </c>
      <c r="F539" s="15" t="s">
        <v>48</v>
      </c>
      <c r="G539" s="20">
        <v>100</v>
      </c>
      <c r="H539" s="24">
        <f>800/1.12</f>
        <v>714.28571428571422</v>
      </c>
      <c r="I539" s="23">
        <f t="shared" si="9"/>
        <v>71428.57142857142</v>
      </c>
      <c r="J539" s="12" t="s">
        <v>43</v>
      </c>
      <c r="K539" s="12" t="s">
        <v>41</v>
      </c>
      <c r="L539" s="6"/>
      <c r="M539" s="6"/>
      <c r="N539" s="6"/>
      <c r="O539" s="6"/>
      <c r="P539" s="6"/>
      <c r="Q539" s="6"/>
      <c r="R539" s="6"/>
      <c r="S539" s="6"/>
      <c r="T539" s="6"/>
      <c r="U539"/>
      <c r="V539"/>
      <c r="W539"/>
      <c r="X539"/>
    </row>
    <row r="540" spans="1:24" ht="33.75" x14ac:dyDescent="0.2">
      <c r="A540" s="18">
        <v>533</v>
      </c>
      <c r="B540" s="21" t="s">
        <v>536</v>
      </c>
      <c r="C540" s="5" t="s">
        <v>909</v>
      </c>
      <c r="D540" s="13">
        <v>142</v>
      </c>
      <c r="E540" s="21" t="s">
        <v>536</v>
      </c>
      <c r="F540" s="15" t="s">
        <v>51</v>
      </c>
      <c r="G540" s="20">
        <v>3</v>
      </c>
      <c r="H540" s="24">
        <f>600/1.12</f>
        <v>535.71428571428567</v>
      </c>
      <c r="I540" s="23">
        <f t="shared" si="9"/>
        <v>1607.1428571428569</v>
      </c>
      <c r="J540" s="12" t="s">
        <v>43</v>
      </c>
      <c r="K540" s="12" t="s">
        <v>41</v>
      </c>
      <c r="L540" s="6"/>
      <c r="M540" s="6"/>
      <c r="N540" s="6"/>
      <c r="O540" s="6"/>
      <c r="P540" s="6"/>
      <c r="Q540" s="6"/>
      <c r="R540" s="6"/>
      <c r="S540" s="6"/>
      <c r="T540" s="6"/>
      <c r="U540"/>
      <c r="V540"/>
      <c r="W540"/>
      <c r="X540"/>
    </row>
    <row r="541" spans="1:24" ht="33.75" x14ac:dyDescent="0.2">
      <c r="A541" s="18">
        <v>534</v>
      </c>
      <c r="B541" s="21" t="s">
        <v>537</v>
      </c>
      <c r="C541" s="5" t="s">
        <v>909</v>
      </c>
      <c r="D541" s="13">
        <v>142</v>
      </c>
      <c r="E541" s="21" t="s">
        <v>537</v>
      </c>
      <c r="F541" s="15" t="s">
        <v>42</v>
      </c>
      <c r="G541" s="20">
        <v>2</v>
      </c>
      <c r="H541" s="24">
        <v>64460.71</v>
      </c>
      <c r="I541" s="23">
        <f t="shared" si="9"/>
        <v>128921.42</v>
      </c>
      <c r="J541" s="12" t="s">
        <v>43</v>
      </c>
      <c r="K541" s="12" t="s">
        <v>41</v>
      </c>
      <c r="L541" s="6"/>
      <c r="M541" s="6"/>
      <c r="N541" s="6"/>
      <c r="O541" s="6"/>
      <c r="P541" s="6"/>
      <c r="Q541" s="6"/>
      <c r="R541" s="6"/>
      <c r="S541" s="6"/>
      <c r="T541" s="6"/>
      <c r="U541"/>
      <c r="V541"/>
      <c r="W541"/>
      <c r="X541"/>
    </row>
    <row r="542" spans="1:24" ht="33.75" x14ac:dyDescent="0.2">
      <c r="A542" s="18">
        <v>535</v>
      </c>
      <c r="B542" s="21" t="s">
        <v>538</v>
      </c>
      <c r="C542" s="5" t="s">
        <v>909</v>
      </c>
      <c r="D542" s="13">
        <v>142</v>
      </c>
      <c r="E542" s="21" t="s">
        <v>538</v>
      </c>
      <c r="F542" s="15" t="s">
        <v>42</v>
      </c>
      <c r="G542" s="20">
        <v>10</v>
      </c>
      <c r="H542" s="24">
        <f>200/1.12</f>
        <v>178.57142857142856</v>
      </c>
      <c r="I542" s="23">
        <f t="shared" si="9"/>
        <v>1785.7142857142856</v>
      </c>
      <c r="J542" s="12" t="s">
        <v>43</v>
      </c>
      <c r="K542" s="12" t="s">
        <v>41</v>
      </c>
      <c r="L542" s="6"/>
      <c r="M542" s="6"/>
      <c r="N542" s="6"/>
      <c r="O542" s="6"/>
      <c r="P542" s="6"/>
      <c r="Q542" s="6"/>
      <c r="R542" s="6"/>
      <c r="S542" s="6"/>
      <c r="T542" s="6"/>
      <c r="U542"/>
      <c r="V542"/>
      <c r="W542"/>
      <c r="X542"/>
    </row>
    <row r="543" spans="1:24" ht="33.75" x14ac:dyDescent="0.2">
      <c r="A543" s="18">
        <v>536</v>
      </c>
      <c r="B543" s="21" t="s">
        <v>539</v>
      </c>
      <c r="C543" s="5" t="s">
        <v>909</v>
      </c>
      <c r="D543" s="13">
        <v>142</v>
      </c>
      <c r="E543" s="21" t="s">
        <v>539</v>
      </c>
      <c r="F543" s="15" t="s">
        <v>51</v>
      </c>
      <c r="G543" s="20">
        <v>1</v>
      </c>
      <c r="H543" s="24">
        <f>880/1.12</f>
        <v>785.71428571428567</v>
      </c>
      <c r="I543" s="23">
        <f t="shared" si="9"/>
        <v>785.71428571428567</v>
      </c>
      <c r="J543" s="12" t="s">
        <v>43</v>
      </c>
      <c r="K543" s="12" t="s">
        <v>41</v>
      </c>
      <c r="L543" s="6"/>
      <c r="M543" s="6"/>
      <c r="N543" s="6"/>
      <c r="O543" s="6"/>
      <c r="P543" s="6"/>
      <c r="Q543" s="6"/>
      <c r="R543" s="6"/>
      <c r="S543" s="6"/>
      <c r="T543" s="6"/>
      <c r="U543"/>
      <c r="V543"/>
      <c r="W543"/>
      <c r="X543"/>
    </row>
    <row r="544" spans="1:24" ht="33.75" x14ac:dyDescent="0.2">
      <c r="A544" s="18">
        <v>537</v>
      </c>
      <c r="B544" s="21" t="s">
        <v>540</v>
      </c>
      <c r="C544" s="5" t="s">
        <v>909</v>
      </c>
      <c r="D544" s="13">
        <v>142</v>
      </c>
      <c r="E544" s="21" t="s">
        <v>540</v>
      </c>
      <c r="F544" s="15" t="s">
        <v>48</v>
      </c>
      <c r="G544" s="20">
        <v>50</v>
      </c>
      <c r="H544" s="24">
        <f>350/1.12</f>
        <v>312.49999999999994</v>
      </c>
      <c r="I544" s="23">
        <f t="shared" si="9"/>
        <v>15624.999999999996</v>
      </c>
      <c r="J544" s="12" t="s">
        <v>43</v>
      </c>
      <c r="K544" s="12" t="s">
        <v>41</v>
      </c>
      <c r="L544" s="6"/>
      <c r="M544" s="6"/>
      <c r="N544" s="6"/>
      <c r="O544" s="6"/>
      <c r="P544" s="6"/>
      <c r="Q544" s="6"/>
      <c r="R544" s="6"/>
      <c r="S544" s="6"/>
      <c r="T544" s="6"/>
      <c r="U544"/>
      <c r="V544"/>
      <c r="W544"/>
      <c r="X544"/>
    </row>
    <row r="545" spans="1:24" ht="33.75" x14ac:dyDescent="0.2">
      <c r="A545" s="18">
        <v>538</v>
      </c>
      <c r="B545" s="21" t="s">
        <v>541</v>
      </c>
      <c r="C545" s="5" t="s">
        <v>909</v>
      </c>
      <c r="D545" s="13">
        <v>142</v>
      </c>
      <c r="E545" s="21" t="s">
        <v>860</v>
      </c>
      <c r="F545" s="15" t="s">
        <v>42</v>
      </c>
      <c r="G545" s="20">
        <v>1</v>
      </c>
      <c r="H545" s="24">
        <f>1200/1.12</f>
        <v>1071.4285714285713</v>
      </c>
      <c r="I545" s="23">
        <f t="shared" si="9"/>
        <v>1071.4285714285713</v>
      </c>
      <c r="J545" s="12" t="s">
        <v>43</v>
      </c>
      <c r="K545" s="12" t="s">
        <v>41</v>
      </c>
      <c r="L545" s="6"/>
      <c r="M545" s="6"/>
      <c r="N545" s="6"/>
      <c r="O545" s="6"/>
      <c r="P545" s="6"/>
      <c r="Q545" s="6"/>
      <c r="R545" s="6"/>
      <c r="S545" s="6"/>
      <c r="T545" s="6"/>
      <c r="U545"/>
      <c r="V545"/>
      <c r="W545"/>
      <c r="X545"/>
    </row>
    <row r="546" spans="1:24" ht="33.75" x14ac:dyDescent="0.2">
      <c r="A546" s="18">
        <v>539</v>
      </c>
      <c r="B546" s="21" t="s">
        <v>542</v>
      </c>
      <c r="C546" s="5" t="s">
        <v>909</v>
      </c>
      <c r="D546" s="13">
        <v>142</v>
      </c>
      <c r="E546" s="21" t="s">
        <v>542</v>
      </c>
      <c r="F546" s="15" t="s">
        <v>42</v>
      </c>
      <c r="G546" s="20">
        <v>2</v>
      </c>
      <c r="H546" s="24">
        <f>470/1.12</f>
        <v>419.64285714285711</v>
      </c>
      <c r="I546" s="23">
        <f t="shared" si="9"/>
        <v>839.28571428571422</v>
      </c>
      <c r="J546" s="12" t="s">
        <v>43</v>
      </c>
      <c r="K546" s="12" t="s">
        <v>41</v>
      </c>
      <c r="L546" s="6"/>
      <c r="M546" s="6"/>
      <c r="N546" s="6"/>
      <c r="O546" s="6"/>
      <c r="P546" s="6"/>
      <c r="Q546" s="6"/>
      <c r="R546" s="6"/>
      <c r="S546" s="6"/>
      <c r="T546" s="6"/>
      <c r="U546"/>
      <c r="V546"/>
      <c r="W546"/>
      <c r="X546"/>
    </row>
    <row r="547" spans="1:24" ht="33.75" x14ac:dyDescent="0.2">
      <c r="A547" s="18">
        <v>540</v>
      </c>
      <c r="B547" s="21" t="s">
        <v>543</v>
      </c>
      <c r="C547" s="5" t="s">
        <v>909</v>
      </c>
      <c r="D547" s="13">
        <v>142</v>
      </c>
      <c r="E547" s="21" t="s">
        <v>543</v>
      </c>
      <c r="F547" s="15" t="s">
        <v>42</v>
      </c>
      <c r="G547" s="20">
        <v>4</v>
      </c>
      <c r="H547" s="24">
        <f>360/1.12</f>
        <v>321.42857142857139</v>
      </c>
      <c r="I547" s="23">
        <f t="shared" si="9"/>
        <v>1285.7142857142856</v>
      </c>
      <c r="J547" s="12" t="s">
        <v>43</v>
      </c>
      <c r="K547" s="12" t="s">
        <v>41</v>
      </c>
      <c r="L547" s="6"/>
      <c r="M547" s="6"/>
      <c r="N547" s="6"/>
      <c r="O547" s="6"/>
      <c r="P547" s="6"/>
      <c r="Q547" s="6"/>
      <c r="R547" s="6"/>
      <c r="S547" s="6"/>
      <c r="T547" s="6"/>
      <c r="U547"/>
      <c r="V547"/>
      <c r="W547"/>
      <c r="X547"/>
    </row>
    <row r="548" spans="1:24" ht="33.75" x14ac:dyDescent="0.2">
      <c r="A548" s="18">
        <v>541</v>
      </c>
      <c r="B548" s="21" t="s">
        <v>544</v>
      </c>
      <c r="C548" s="5" t="s">
        <v>909</v>
      </c>
      <c r="D548" s="13">
        <v>142</v>
      </c>
      <c r="E548" s="21" t="s">
        <v>544</v>
      </c>
      <c r="F548" s="15" t="s">
        <v>42</v>
      </c>
      <c r="G548" s="20">
        <v>2</v>
      </c>
      <c r="H548" s="24">
        <f>850/1.12</f>
        <v>758.92857142857133</v>
      </c>
      <c r="I548" s="23">
        <f t="shared" si="9"/>
        <v>1517.8571428571427</v>
      </c>
      <c r="J548" s="12" t="s">
        <v>43</v>
      </c>
      <c r="K548" s="12" t="s">
        <v>41</v>
      </c>
      <c r="L548" s="6"/>
      <c r="M548" s="6"/>
      <c r="N548" s="6"/>
      <c r="O548" s="6"/>
      <c r="P548" s="6"/>
      <c r="Q548" s="6"/>
      <c r="R548" s="6"/>
      <c r="S548" s="6"/>
      <c r="T548" s="6"/>
      <c r="U548"/>
      <c r="V548"/>
      <c r="W548"/>
      <c r="X548"/>
    </row>
    <row r="549" spans="1:24" ht="33.75" x14ac:dyDescent="0.2">
      <c r="A549" s="18">
        <v>542</v>
      </c>
      <c r="B549" s="21" t="s">
        <v>545</v>
      </c>
      <c r="C549" s="5" t="s">
        <v>909</v>
      </c>
      <c r="D549" s="13">
        <v>142</v>
      </c>
      <c r="E549" s="21" t="s">
        <v>545</v>
      </c>
      <c r="F549" s="15" t="s">
        <v>42</v>
      </c>
      <c r="G549" s="20">
        <v>2</v>
      </c>
      <c r="H549" s="24">
        <f>125/1.12</f>
        <v>111.60714285714285</v>
      </c>
      <c r="I549" s="23">
        <f t="shared" si="9"/>
        <v>223.21428571428569</v>
      </c>
      <c r="J549" s="12" t="s">
        <v>43</v>
      </c>
      <c r="K549" s="12" t="s">
        <v>41</v>
      </c>
      <c r="L549" s="6"/>
      <c r="M549" s="6"/>
      <c r="N549" s="6"/>
      <c r="O549" s="6"/>
      <c r="P549" s="6"/>
      <c r="Q549" s="6"/>
      <c r="R549" s="6"/>
      <c r="S549" s="6"/>
      <c r="T549" s="6"/>
      <c r="U549"/>
      <c r="V549"/>
      <c r="W549"/>
      <c r="X549"/>
    </row>
    <row r="550" spans="1:24" ht="33.75" x14ac:dyDescent="0.2">
      <c r="A550" s="18">
        <v>543</v>
      </c>
      <c r="B550" s="21" t="s">
        <v>546</v>
      </c>
      <c r="C550" s="5" t="s">
        <v>909</v>
      </c>
      <c r="D550" s="13">
        <v>142</v>
      </c>
      <c r="E550" s="21" t="s">
        <v>546</v>
      </c>
      <c r="F550" s="15" t="s">
        <v>42</v>
      </c>
      <c r="G550" s="20">
        <v>2</v>
      </c>
      <c r="H550" s="24">
        <f>650/1.12</f>
        <v>580.35714285714278</v>
      </c>
      <c r="I550" s="23">
        <f t="shared" si="9"/>
        <v>1160.7142857142856</v>
      </c>
      <c r="J550" s="12" t="s">
        <v>43</v>
      </c>
      <c r="K550" s="12" t="s">
        <v>41</v>
      </c>
      <c r="L550" s="6"/>
      <c r="M550" s="6"/>
      <c r="N550" s="6"/>
      <c r="O550" s="6"/>
      <c r="P550" s="6"/>
      <c r="Q550" s="6"/>
      <c r="R550" s="6"/>
      <c r="S550" s="6"/>
      <c r="T550" s="6"/>
      <c r="U550"/>
      <c r="V550"/>
      <c r="W550"/>
      <c r="X550"/>
    </row>
    <row r="551" spans="1:24" ht="33.75" x14ac:dyDescent="0.2">
      <c r="A551" s="18">
        <v>544</v>
      </c>
      <c r="B551" s="21" t="s">
        <v>547</v>
      </c>
      <c r="C551" s="5" t="s">
        <v>909</v>
      </c>
      <c r="D551" s="13">
        <v>142</v>
      </c>
      <c r="E551" s="21" t="s">
        <v>547</v>
      </c>
      <c r="F551" s="15" t="s">
        <v>42</v>
      </c>
      <c r="G551" s="20">
        <v>1</v>
      </c>
      <c r="H551" s="24">
        <f>580/1.12</f>
        <v>517.85714285714278</v>
      </c>
      <c r="I551" s="23">
        <f t="shared" si="9"/>
        <v>517.85714285714278</v>
      </c>
      <c r="J551" s="12" t="s">
        <v>43</v>
      </c>
      <c r="K551" s="12" t="s">
        <v>41</v>
      </c>
      <c r="L551" s="6"/>
      <c r="M551" s="6"/>
      <c r="N551" s="6"/>
      <c r="O551" s="6"/>
      <c r="P551" s="6"/>
      <c r="Q551" s="6"/>
      <c r="R551" s="6"/>
      <c r="S551" s="6"/>
      <c r="T551" s="6"/>
      <c r="U551"/>
      <c r="V551"/>
      <c r="W551"/>
      <c r="X551"/>
    </row>
    <row r="552" spans="1:24" ht="33.75" x14ac:dyDescent="0.2">
      <c r="A552" s="18">
        <v>545</v>
      </c>
      <c r="B552" s="21" t="s">
        <v>548</v>
      </c>
      <c r="C552" s="5" t="s">
        <v>909</v>
      </c>
      <c r="D552" s="13">
        <v>142</v>
      </c>
      <c r="E552" s="21" t="s">
        <v>548</v>
      </c>
      <c r="F552" s="15" t="s">
        <v>42</v>
      </c>
      <c r="G552" s="20">
        <v>1</v>
      </c>
      <c r="H552" s="24">
        <f>600/1.12</f>
        <v>535.71428571428567</v>
      </c>
      <c r="I552" s="23">
        <f t="shared" si="9"/>
        <v>535.71428571428567</v>
      </c>
      <c r="J552" s="12" t="s">
        <v>43</v>
      </c>
      <c r="K552" s="12" t="s">
        <v>41</v>
      </c>
      <c r="L552" s="6"/>
      <c r="M552" s="6"/>
      <c r="N552" s="6"/>
      <c r="O552" s="6"/>
      <c r="P552" s="6"/>
      <c r="Q552" s="6"/>
      <c r="R552" s="6"/>
      <c r="S552" s="6"/>
      <c r="T552" s="6"/>
      <c r="U552"/>
      <c r="V552"/>
      <c r="W552"/>
      <c r="X552"/>
    </row>
    <row r="553" spans="1:24" ht="33.75" x14ac:dyDescent="0.2">
      <c r="A553" s="18">
        <v>546</v>
      </c>
      <c r="B553" s="21" t="s">
        <v>549</v>
      </c>
      <c r="C553" s="5" t="s">
        <v>909</v>
      </c>
      <c r="D553" s="13">
        <v>142</v>
      </c>
      <c r="E553" s="21" t="s">
        <v>549</v>
      </c>
      <c r="F553" s="15" t="s">
        <v>42</v>
      </c>
      <c r="G553" s="20">
        <v>5</v>
      </c>
      <c r="H553" s="24">
        <f>260/1.12</f>
        <v>232.14285714285711</v>
      </c>
      <c r="I553" s="23">
        <f t="shared" si="9"/>
        <v>1160.7142857142856</v>
      </c>
      <c r="J553" s="12" t="s">
        <v>43</v>
      </c>
      <c r="K553" s="12" t="s">
        <v>41</v>
      </c>
      <c r="L553" s="6"/>
      <c r="M553" s="6"/>
      <c r="N553" s="6"/>
      <c r="O553" s="6"/>
      <c r="P553" s="6"/>
      <c r="Q553" s="6"/>
      <c r="R553" s="6"/>
      <c r="S553" s="6"/>
      <c r="T553" s="6"/>
      <c r="U553"/>
      <c r="V553"/>
      <c r="W553"/>
      <c r="X553"/>
    </row>
    <row r="554" spans="1:24" ht="33.75" x14ac:dyDescent="0.2">
      <c r="A554" s="18">
        <v>547</v>
      </c>
      <c r="B554" s="21" t="s">
        <v>550</v>
      </c>
      <c r="C554" s="5" t="s">
        <v>909</v>
      </c>
      <c r="D554" s="13">
        <v>142</v>
      </c>
      <c r="E554" s="21" t="s">
        <v>550</v>
      </c>
      <c r="F554" s="15" t="s">
        <v>42</v>
      </c>
      <c r="G554" s="20">
        <v>5</v>
      </c>
      <c r="H554" s="24">
        <f>460/1.12</f>
        <v>410.71428571428567</v>
      </c>
      <c r="I554" s="23">
        <f t="shared" si="9"/>
        <v>2053.5714285714284</v>
      </c>
      <c r="J554" s="12" t="s">
        <v>43</v>
      </c>
      <c r="K554" s="12" t="s">
        <v>41</v>
      </c>
      <c r="L554" s="6"/>
      <c r="M554" s="6"/>
      <c r="N554" s="6"/>
      <c r="O554" s="6"/>
      <c r="P554" s="6"/>
      <c r="Q554" s="6"/>
      <c r="R554" s="6"/>
      <c r="S554" s="6"/>
      <c r="T554" s="6"/>
      <c r="U554"/>
      <c r="V554"/>
      <c r="W554"/>
      <c r="X554"/>
    </row>
    <row r="555" spans="1:24" ht="33.75" x14ac:dyDescent="0.2">
      <c r="A555" s="18">
        <v>548</v>
      </c>
      <c r="B555" s="21" t="s">
        <v>551</v>
      </c>
      <c r="C555" s="5" t="s">
        <v>909</v>
      </c>
      <c r="D555" s="13">
        <v>142</v>
      </c>
      <c r="E555" s="21" t="s">
        <v>551</v>
      </c>
      <c r="F555" s="15" t="s">
        <v>42</v>
      </c>
      <c r="G555" s="20">
        <v>2</v>
      </c>
      <c r="H555" s="24">
        <f>880/1.12</f>
        <v>785.71428571428567</v>
      </c>
      <c r="I555" s="23">
        <f t="shared" si="9"/>
        <v>1571.4285714285713</v>
      </c>
      <c r="J555" s="12" t="s">
        <v>43</v>
      </c>
      <c r="K555" s="12" t="s">
        <v>41</v>
      </c>
      <c r="L555" s="6"/>
      <c r="M555" s="6"/>
      <c r="N555" s="6"/>
      <c r="O555" s="6"/>
      <c r="P555" s="6"/>
      <c r="Q555" s="6"/>
      <c r="R555" s="6"/>
      <c r="S555" s="6"/>
      <c r="T555" s="6"/>
      <c r="U555"/>
      <c r="V555"/>
      <c r="W555"/>
      <c r="X555"/>
    </row>
    <row r="556" spans="1:24" ht="33.75" x14ac:dyDescent="0.2">
      <c r="A556" s="18">
        <v>549</v>
      </c>
      <c r="B556" s="21" t="s">
        <v>552</v>
      </c>
      <c r="C556" s="5" t="s">
        <v>909</v>
      </c>
      <c r="D556" s="13">
        <v>142</v>
      </c>
      <c r="E556" s="21" t="s">
        <v>552</v>
      </c>
      <c r="F556" s="15" t="s">
        <v>42</v>
      </c>
      <c r="G556" s="20">
        <v>4</v>
      </c>
      <c r="H556" s="24">
        <f>900/1.12</f>
        <v>803.57142857142844</v>
      </c>
      <c r="I556" s="23">
        <f t="shared" si="9"/>
        <v>3214.2857142857138</v>
      </c>
      <c r="J556" s="12" t="s">
        <v>43</v>
      </c>
      <c r="K556" s="12" t="s">
        <v>41</v>
      </c>
      <c r="L556" s="6"/>
      <c r="M556" s="6"/>
      <c r="N556" s="6"/>
      <c r="O556" s="6"/>
      <c r="P556" s="6"/>
      <c r="Q556" s="6"/>
      <c r="R556" s="6"/>
      <c r="S556" s="6"/>
      <c r="T556" s="6"/>
      <c r="U556"/>
      <c r="V556"/>
      <c r="W556"/>
      <c r="X556"/>
    </row>
    <row r="557" spans="1:24" ht="33.75" x14ac:dyDescent="0.2">
      <c r="A557" s="18">
        <v>550</v>
      </c>
      <c r="B557" s="21" t="s">
        <v>522</v>
      </c>
      <c r="C557" s="5" t="s">
        <v>909</v>
      </c>
      <c r="D557" s="13">
        <v>142</v>
      </c>
      <c r="E557" s="21" t="s">
        <v>522</v>
      </c>
      <c r="F557" s="15" t="s">
        <v>42</v>
      </c>
      <c r="G557" s="20">
        <v>2</v>
      </c>
      <c r="H557" s="24">
        <f>1200/1.12</f>
        <v>1071.4285714285713</v>
      </c>
      <c r="I557" s="23">
        <f t="shared" si="9"/>
        <v>2142.8571428571427</v>
      </c>
      <c r="J557" s="12" t="s">
        <v>43</v>
      </c>
      <c r="K557" s="12" t="s">
        <v>41</v>
      </c>
      <c r="L557" s="6"/>
      <c r="M557" s="6"/>
      <c r="N557" s="6"/>
      <c r="O557" s="6"/>
      <c r="P557" s="6"/>
      <c r="Q557" s="6"/>
      <c r="R557" s="6"/>
      <c r="S557" s="6"/>
      <c r="T557" s="6"/>
      <c r="U557"/>
      <c r="V557"/>
      <c r="W557"/>
      <c r="X557"/>
    </row>
    <row r="558" spans="1:24" ht="33.75" x14ac:dyDescent="0.2">
      <c r="A558" s="18">
        <v>551</v>
      </c>
      <c r="B558" s="21" t="s">
        <v>553</v>
      </c>
      <c r="C558" s="5" t="s">
        <v>909</v>
      </c>
      <c r="D558" s="13">
        <v>142</v>
      </c>
      <c r="E558" s="21" t="s">
        <v>553</v>
      </c>
      <c r="F558" s="15" t="s">
        <v>42</v>
      </c>
      <c r="G558" s="20">
        <v>1</v>
      </c>
      <c r="H558" s="24">
        <f>5800/1.12</f>
        <v>5178.5714285714284</v>
      </c>
      <c r="I558" s="23">
        <f t="shared" si="9"/>
        <v>5178.5714285714284</v>
      </c>
      <c r="J558" s="12" t="s">
        <v>43</v>
      </c>
      <c r="K558" s="12" t="s">
        <v>41</v>
      </c>
      <c r="L558" s="6"/>
      <c r="M558" s="6"/>
      <c r="N558" s="6"/>
      <c r="O558" s="6"/>
      <c r="P558" s="6"/>
      <c r="Q558" s="6"/>
      <c r="R558" s="6"/>
      <c r="S558" s="6"/>
      <c r="T558" s="6"/>
      <c r="U558"/>
      <c r="V558"/>
      <c r="W558"/>
      <c r="X558"/>
    </row>
    <row r="559" spans="1:24" ht="33.75" x14ac:dyDescent="0.2">
      <c r="A559" s="18">
        <v>552</v>
      </c>
      <c r="B559" s="21" t="s">
        <v>554</v>
      </c>
      <c r="C559" s="5" t="s">
        <v>909</v>
      </c>
      <c r="D559" s="13">
        <v>142</v>
      </c>
      <c r="E559" s="21" t="s">
        <v>554</v>
      </c>
      <c r="F559" s="15" t="s">
        <v>42</v>
      </c>
      <c r="G559" s="20">
        <v>1</v>
      </c>
      <c r="H559" s="24">
        <f>15000/1.12</f>
        <v>13392.857142857141</v>
      </c>
      <c r="I559" s="23">
        <f t="shared" si="9"/>
        <v>13392.857142857141</v>
      </c>
      <c r="J559" s="12" t="s">
        <v>43</v>
      </c>
      <c r="K559" s="12" t="s">
        <v>41</v>
      </c>
      <c r="L559" s="6"/>
      <c r="M559" s="6"/>
      <c r="N559" s="6"/>
      <c r="O559" s="6"/>
      <c r="P559" s="6"/>
      <c r="Q559" s="6"/>
      <c r="R559" s="6"/>
      <c r="S559" s="6"/>
      <c r="T559" s="6"/>
      <c r="U559"/>
      <c r="V559"/>
      <c r="W559"/>
      <c r="X559"/>
    </row>
    <row r="560" spans="1:24" ht="33.75" x14ac:dyDescent="0.2">
      <c r="A560" s="18">
        <v>553</v>
      </c>
      <c r="B560" s="21" t="s">
        <v>555</v>
      </c>
      <c r="C560" s="5" t="s">
        <v>909</v>
      </c>
      <c r="D560" s="13">
        <v>142</v>
      </c>
      <c r="E560" s="21" t="s">
        <v>555</v>
      </c>
      <c r="F560" s="15" t="s">
        <v>42</v>
      </c>
      <c r="G560" s="20">
        <v>600</v>
      </c>
      <c r="H560" s="24">
        <f>150/1.12</f>
        <v>133.92857142857142</v>
      </c>
      <c r="I560" s="23">
        <f t="shared" si="9"/>
        <v>80357.142857142855</v>
      </c>
      <c r="J560" s="12" t="s">
        <v>43</v>
      </c>
      <c r="K560" s="12" t="s">
        <v>41</v>
      </c>
      <c r="L560" s="6"/>
      <c r="M560" s="6"/>
      <c r="N560" s="6"/>
      <c r="O560" s="6"/>
      <c r="P560" s="6"/>
      <c r="Q560" s="6"/>
      <c r="R560" s="6"/>
      <c r="S560" s="6"/>
      <c r="T560" s="6"/>
      <c r="U560"/>
      <c r="V560"/>
      <c r="W560"/>
      <c r="X560"/>
    </row>
    <row r="561" spans="1:24" ht="33.75" x14ac:dyDescent="0.2">
      <c r="A561" s="18">
        <v>554</v>
      </c>
      <c r="B561" s="21" t="s">
        <v>556</v>
      </c>
      <c r="C561" s="5" t="s">
        <v>909</v>
      </c>
      <c r="D561" s="13">
        <v>142</v>
      </c>
      <c r="E561" s="21" t="s">
        <v>556</v>
      </c>
      <c r="F561" s="15" t="s">
        <v>42</v>
      </c>
      <c r="G561" s="20">
        <v>600</v>
      </c>
      <c r="H561" s="24">
        <f>140/1.12</f>
        <v>124.99999999999999</v>
      </c>
      <c r="I561" s="23">
        <f t="shared" si="9"/>
        <v>74999.999999999985</v>
      </c>
      <c r="J561" s="12" t="s">
        <v>43</v>
      </c>
      <c r="K561" s="12" t="s">
        <v>41</v>
      </c>
      <c r="L561" s="6"/>
      <c r="M561" s="6"/>
      <c r="N561" s="6"/>
      <c r="O561" s="6"/>
      <c r="P561" s="6"/>
      <c r="Q561" s="6"/>
      <c r="R561" s="6"/>
      <c r="S561" s="6"/>
      <c r="T561" s="6"/>
      <c r="U561"/>
      <c r="V561"/>
      <c r="W561"/>
      <c r="X561"/>
    </row>
    <row r="562" spans="1:24" ht="33.75" x14ac:dyDescent="0.2">
      <c r="A562" s="18">
        <v>555</v>
      </c>
      <c r="B562" s="21" t="s">
        <v>557</v>
      </c>
      <c r="C562" s="5" t="s">
        <v>909</v>
      </c>
      <c r="D562" s="13">
        <v>142</v>
      </c>
      <c r="E562" s="21" t="s">
        <v>557</v>
      </c>
      <c r="F562" s="15" t="s">
        <v>42</v>
      </c>
      <c r="G562" s="20">
        <v>600</v>
      </c>
      <c r="H562" s="24">
        <f>258/1.12</f>
        <v>230.35714285714283</v>
      </c>
      <c r="I562" s="23">
        <f t="shared" si="9"/>
        <v>138214.28571428571</v>
      </c>
      <c r="J562" s="12" t="s">
        <v>43</v>
      </c>
      <c r="K562" s="12" t="s">
        <v>41</v>
      </c>
      <c r="L562" s="6"/>
      <c r="M562" s="6"/>
      <c r="N562" s="6"/>
      <c r="O562" s="6"/>
      <c r="P562" s="6"/>
      <c r="Q562" s="6"/>
      <c r="R562" s="6"/>
      <c r="S562" s="6"/>
      <c r="T562" s="6"/>
      <c r="U562"/>
      <c r="V562"/>
      <c r="W562"/>
      <c r="X562"/>
    </row>
    <row r="563" spans="1:24" ht="33.75" x14ac:dyDescent="0.2">
      <c r="A563" s="18">
        <v>556</v>
      </c>
      <c r="B563" s="21" t="s">
        <v>558</v>
      </c>
      <c r="C563" s="5" t="s">
        <v>909</v>
      </c>
      <c r="D563" s="13">
        <v>142</v>
      </c>
      <c r="E563" s="21" t="s">
        <v>558</v>
      </c>
      <c r="F563" s="15" t="s">
        <v>42</v>
      </c>
      <c r="G563" s="20">
        <v>600</v>
      </c>
      <c r="H563" s="24">
        <f>250/1.12</f>
        <v>223.21428571428569</v>
      </c>
      <c r="I563" s="23">
        <f t="shared" si="9"/>
        <v>133928.57142857142</v>
      </c>
      <c r="J563" s="12" t="s">
        <v>43</v>
      </c>
      <c r="K563" s="12" t="s">
        <v>41</v>
      </c>
      <c r="L563" s="6"/>
      <c r="M563" s="6"/>
      <c r="N563" s="6"/>
      <c r="O563" s="6"/>
      <c r="P563" s="6"/>
      <c r="Q563" s="6"/>
      <c r="R563" s="6"/>
      <c r="S563" s="6"/>
      <c r="T563" s="6"/>
      <c r="U563"/>
      <c r="V563"/>
      <c r="W563"/>
      <c r="X563"/>
    </row>
    <row r="564" spans="1:24" ht="33.75" x14ac:dyDescent="0.2">
      <c r="A564" s="18">
        <v>557</v>
      </c>
      <c r="B564" s="21" t="s">
        <v>559</v>
      </c>
      <c r="C564" s="5" t="s">
        <v>909</v>
      </c>
      <c r="D564" s="13">
        <v>142</v>
      </c>
      <c r="E564" s="21" t="s">
        <v>559</v>
      </c>
      <c r="F564" s="15" t="s">
        <v>42</v>
      </c>
      <c r="G564" s="20">
        <v>500</v>
      </c>
      <c r="H564" s="24">
        <f>280/1.12</f>
        <v>249.99999999999997</v>
      </c>
      <c r="I564" s="23">
        <f t="shared" si="9"/>
        <v>124999.99999999999</v>
      </c>
      <c r="J564" s="12" t="s">
        <v>43</v>
      </c>
      <c r="K564" s="12" t="s">
        <v>41</v>
      </c>
      <c r="L564" s="6"/>
      <c r="M564" s="6"/>
      <c r="N564" s="6"/>
      <c r="O564" s="6"/>
      <c r="P564" s="6"/>
      <c r="Q564" s="6"/>
      <c r="R564" s="6"/>
      <c r="S564" s="6"/>
      <c r="T564" s="6"/>
      <c r="U564"/>
      <c r="V564"/>
      <c r="W564"/>
      <c r="X564"/>
    </row>
    <row r="565" spans="1:24" ht="33.75" x14ac:dyDescent="0.2">
      <c r="A565" s="18">
        <v>558</v>
      </c>
      <c r="B565" s="21" t="s">
        <v>315</v>
      </c>
      <c r="C565" s="5" t="s">
        <v>909</v>
      </c>
      <c r="D565" s="13">
        <v>142</v>
      </c>
      <c r="E565" s="21" t="s">
        <v>315</v>
      </c>
      <c r="F565" s="15" t="s">
        <v>42</v>
      </c>
      <c r="G565" s="20">
        <v>10</v>
      </c>
      <c r="H565" s="24">
        <f>350/1.12</f>
        <v>312.49999999999994</v>
      </c>
      <c r="I565" s="23">
        <f t="shared" si="9"/>
        <v>3124.9999999999995</v>
      </c>
      <c r="J565" s="12" t="s">
        <v>43</v>
      </c>
      <c r="K565" s="12" t="s">
        <v>41</v>
      </c>
      <c r="L565" s="6"/>
      <c r="M565" s="6"/>
      <c r="N565" s="6"/>
      <c r="O565" s="6"/>
      <c r="P565" s="6"/>
      <c r="Q565" s="6"/>
      <c r="R565" s="6"/>
      <c r="S565" s="6"/>
      <c r="T565" s="6"/>
      <c r="U565"/>
      <c r="V565"/>
      <c r="W565"/>
      <c r="X565"/>
    </row>
    <row r="566" spans="1:24" ht="33.75" x14ac:dyDescent="0.2">
      <c r="A566" s="18">
        <v>559</v>
      </c>
      <c r="B566" s="21" t="s">
        <v>316</v>
      </c>
      <c r="C566" s="5" t="s">
        <v>909</v>
      </c>
      <c r="D566" s="13">
        <v>142</v>
      </c>
      <c r="E566" s="21" t="s">
        <v>316</v>
      </c>
      <c r="F566" s="15" t="s">
        <v>42</v>
      </c>
      <c r="G566" s="20">
        <v>10</v>
      </c>
      <c r="H566" s="24">
        <f>340/1.12</f>
        <v>303.57142857142856</v>
      </c>
      <c r="I566" s="23">
        <f t="shared" si="9"/>
        <v>3035.7142857142853</v>
      </c>
      <c r="J566" s="12" t="s">
        <v>43</v>
      </c>
      <c r="K566" s="12" t="s">
        <v>41</v>
      </c>
      <c r="L566" s="6"/>
      <c r="M566" s="6"/>
      <c r="N566" s="6"/>
      <c r="O566" s="6"/>
      <c r="P566" s="6"/>
      <c r="Q566" s="6"/>
      <c r="R566" s="6"/>
      <c r="S566" s="6"/>
      <c r="T566" s="6"/>
      <c r="U566"/>
      <c r="V566"/>
      <c r="W566"/>
      <c r="X566"/>
    </row>
    <row r="567" spans="1:24" ht="33.75" x14ac:dyDescent="0.2">
      <c r="A567" s="18">
        <v>560</v>
      </c>
      <c r="B567" s="21" t="s">
        <v>317</v>
      </c>
      <c r="C567" s="5" t="s">
        <v>909</v>
      </c>
      <c r="D567" s="13">
        <v>142</v>
      </c>
      <c r="E567" s="21" t="s">
        <v>317</v>
      </c>
      <c r="F567" s="15" t="s">
        <v>42</v>
      </c>
      <c r="G567" s="20">
        <v>100</v>
      </c>
      <c r="H567" s="24">
        <f>95/1.12</f>
        <v>84.821428571428569</v>
      </c>
      <c r="I567" s="23">
        <f t="shared" si="9"/>
        <v>8482.1428571428569</v>
      </c>
      <c r="J567" s="12" t="s">
        <v>43</v>
      </c>
      <c r="K567" s="12" t="s">
        <v>41</v>
      </c>
      <c r="L567" s="6"/>
      <c r="M567" s="6"/>
      <c r="N567" s="6"/>
      <c r="O567" s="6"/>
      <c r="P567" s="6"/>
      <c r="Q567" s="6"/>
      <c r="R567" s="6"/>
      <c r="S567" s="6"/>
      <c r="T567" s="6"/>
      <c r="U567"/>
      <c r="V567"/>
      <c r="W567"/>
      <c r="X567"/>
    </row>
    <row r="568" spans="1:24" ht="33.75" x14ac:dyDescent="0.2">
      <c r="A568" s="18">
        <v>561</v>
      </c>
      <c r="B568" s="21" t="s">
        <v>560</v>
      </c>
      <c r="C568" s="5" t="s">
        <v>909</v>
      </c>
      <c r="D568" s="13">
        <v>142</v>
      </c>
      <c r="E568" s="21" t="s">
        <v>560</v>
      </c>
      <c r="F568" s="15" t="s">
        <v>42</v>
      </c>
      <c r="G568" s="20">
        <v>1000</v>
      </c>
      <c r="H568" s="24">
        <f>100/1.12</f>
        <v>89.285714285714278</v>
      </c>
      <c r="I568" s="23">
        <f t="shared" si="9"/>
        <v>89285.714285714275</v>
      </c>
      <c r="J568" s="12" t="s">
        <v>43</v>
      </c>
      <c r="K568" s="12" t="s">
        <v>41</v>
      </c>
      <c r="L568" s="6"/>
      <c r="M568" s="6"/>
      <c r="N568" s="6"/>
      <c r="O568" s="6"/>
      <c r="P568" s="6"/>
      <c r="Q568" s="6"/>
      <c r="R568" s="6"/>
      <c r="S568" s="6"/>
      <c r="T568" s="6"/>
      <c r="U568"/>
      <c r="V568"/>
      <c r="W568"/>
      <c r="X568"/>
    </row>
    <row r="569" spans="1:24" ht="33.75" x14ac:dyDescent="0.2">
      <c r="A569" s="18">
        <v>562</v>
      </c>
      <c r="B569" s="21" t="s">
        <v>561</v>
      </c>
      <c r="C569" s="5" t="s">
        <v>909</v>
      </c>
      <c r="D569" s="13">
        <v>142</v>
      </c>
      <c r="E569" s="21" t="s">
        <v>561</v>
      </c>
      <c r="F569" s="15" t="s">
        <v>42</v>
      </c>
      <c r="G569" s="20">
        <v>500</v>
      </c>
      <c r="H569" s="24">
        <f>90/1.12</f>
        <v>80.357142857142847</v>
      </c>
      <c r="I569" s="23">
        <f t="shared" si="9"/>
        <v>40178.57142857142</v>
      </c>
      <c r="J569" s="12" t="s">
        <v>43</v>
      </c>
      <c r="K569" s="12" t="s">
        <v>41</v>
      </c>
      <c r="L569" s="6"/>
      <c r="M569" s="6"/>
      <c r="N569" s="6"/>
      <c r="O569" s="6"/>
      <c r="P569" s="6"/>
      <c r="Q569" s="6"/>
      <c r="R569" s="6"/>
      <c r="S569" s="6"/>
      <c r="T569" s="6"/>
      <c r="U569"/>
      <c r="V569"/>
      <c r="W569"/>
      <c r="X569"/>
    </row>
    <row r="570" spans="1:24" ht="33.75" x14ac:dyDescent="0.2">
      <c r="A570" s="18">
        <v>563</v>
      </c>
      <c r="B570" s="21" t="s">
        <v>562</v>
      </c>
      <c r="C570" s="5" t="s">
        <v>909</v>
      </c>
      <c r="D570" s="13">
        <v>142</v>
      </c>
      <c r="E570" s="21" t="s">
        <v>562</v>
      </c>
      <c r="F570" s="15" t="s">
        <v>42</v>
      </c>
      <c r="G570" s="20">
        <v>1000</v>
      </c>
      <c r="H570" s="24">
        <f>85/1.12</f>
        <v>75.892857142857139</v>
      </c>
      <c r="I570" s="23">
        <f t="shared" si="9"/>
        <v>75892.857142857145</v>
      </c>
      <c r="J570" s="12" t="s">
        <v>43</v>
      </c>
      <c r="K570" s="12" t="s">
        <v>41</v>
      </c>
      <c r="L570" s="6"/>
      <c r="M570" s="6"/>
      <c r="N570" s="6"/>
      <c r="O570" s="6"/>
      <c r="P570" s="6"/>
      <c r="Q570" s="6"/>
      <c r="R570" s="6"/>
      <c r="S570" s="6"/>
      <c r="T570" s="6"/>
      <c r="U570"/>
      <c r="V570"/>
      <c r="W570"/>
      <c r="X570"/>
    </row>
    <row r="571" spans="1:24" ht="33.75" x14ac:dyDescent="0.2">
      <c r="A571" s="18">
        <v>564</v>
      </c>
      <c r="B571" s="21" t="s">
        <v>563</v>
      </c>
      <c r="C571" s="5" t="s">
        <v>909</v>
      </c>
      <c r="D571" s="13">
        <v>142</v>
      </c>
      <c r="E571" s="21" t="s">
        <v>563</v>
      </c>
      <c r="F571" s="15" t="s">
        <v>42</v>
      </c>
      <c r="G571" s="20">
        <v>200</v>
      </c>
      <c r="H571" s="24">
        <f>150/1.12</f>
        <v>133.92857142857142</v>
      </c>
      <c r="I571" s="23">
        <f t="shared" si="9"/>
        <v>26785.714285714283</v>
      </c>
      <c r="J571" s="12" t="s">
        <v>43</v>
      </c>
      <c r="K571" s="12" t="s">
        <v>41</v>
      </c>
      <c r="L571" s="6"/>
      <c r="M571" s="6"/>
      <c r="N571" s="6"/>
      <c r="O571" s="6"/>
      <c r="P571" s="6"/>
      <c r="Q571" s="6"/>
      <c r="R571" s="6"/>
      <c r="S571" s="6"/>
      <c r="T571" s="6"/>
      <c r="U571"/>
      <c r="V571"/>
      <c r="W571"/>
      <c r="X571"/>
    </row>
    <row r="572" spans="1:24" ht="33.75" x14ac:dyDescent="0.2">
      <c r="A572" s="18">
        <v>565</v>
      </c>
      <c r="B572" s="21" t="s">
        <v>564</v>
      </c>
      <c r="C572" s="5" t="s">
        <v>909</v>
      </c>
      <c r="D572" s="13">
        <v>142</v>
      </c>
      <c r="E572" s="21" t="s">
        <v>564</v>
      </c>
      <c r="F572" s="15" t="s">
        <v>42</v>
      </c>
      <c r="G572" s="20">
        <v>500</v>
      </c>
      <c r="H572" s="24">
        <f>110/1.12</f>
        <v>98.214285714285708</v>
      </c>
      <c r="I572" s="23">
        <f t="shared" si="9"/>
        <v>49107.142857142855</v>
      </c>
      <c r="J572" s="12" t="s">
        <v>43</v>
      </c>
      <c r="K572" s="12" t="s">
        <v>41</v>
      </c>
      <c r="L572" s="6"/>
      <c r="M572" s="6"/>
      <c r="N572" s="6"/>
      <c r="O572" s="6"/>
      <c r="P572" s="6"/>
      <c r="Q572" s="6"/>
      <c r="R572" s="6"/>
      <c r="S572" s="6"/>
      <c r="T572" s="6"/>
      <c r="U572"/>
      <c r="V572"/>
      <c r="W572"/>
      <c r="X572"/>
    </row>
    <row r="573" spans="1:24" ht="33.75" x14ac:dyDescent="0.2">
      <c r="A573" s="18">
        <v>566</v>
      </c>
      <c r="B573" s="21" t="s">
        <v>565</v>
      </c>
      <c r="C573" s="5" t="s">
        <v>909</v>
      </c>
      <c r="D573" s="13">
        <v>142</v>
      </c>
      <c r="E573" s="21" t="s">
        <v>565</v>
      </c>
      <c r="F573" s="15" t="s">
        <v>42</v>
      </c>
      <c r="G573" s="20">
        <v>100</v>
      </c>
      <c r="H573" s="24">
        <f>60/1.12</f>
        <v>53.571428571428569</v>
      </c>
      <c r="I573" s="23">
        <f t="shared" si="9"/>
        <v>5357.1428571428569</v>
      </c>
      <c r="J573" s="12" t="s">
        <v>43</v>
      </c>
      <c r="K573" s="12" t="s">
        <v>41</v>
      </c>
      <c r="L573" s="6"/>
      <c r="M573" s="6"/>
      <c r="N573" s="6"/>
      <c r="O573" s="6"/>
      <c r="P573" s="6"/>
      <c r="Q573" s="6"/>
      <c r="R573" s="6"/>
      <c r="S573" s="6"/>
      <c r="T573" s="6"/>
      <c r="U573"/>
      <c r="V573"/>
      <c r="W573"/>
      <c r="X573"/>
    </row>
    <row r="574" spans="1:24" ht="33.75" x14ac:dyDescent="0.2">
      <c r="A574" s="18">
        <v>567</v>
      </c>
      <c r="B574" s="21" t="s">
        <v>566</v>
      </c>
      <c r="C574" s="5" t="s">
        <v>909</v>
      </c>
      <c r="D574" s="13">
        <v>142</v>
      </c>
      <c r="E574" s="21" t="s">
        <v>566</v>
      </c>
      <c r="F574" s="15" t="s">
        <v>42</v>
      </c>
      <c r="G574" s="20">
        <v>100</v>
      </c>
      <c r="H574" s="24">
        <f>59/1.12</f>
        <v>52.678571428571423</v>
      </c>
      <c r="I574" s="23">
        <f t="shared" si="9"/>
        <v>5267.8571428571422</v>
      </c>
      <c r="J574" s="12" t="s">
        <v>43</v>
      </c>
      <c r="K574" s="12" t="s">
        <v>41</v>
      </c>
      <c r="L574" s="6"/>
      <c r="M574" s="6"/>
      <c r="N574" s="6"/>
      <c r="O574" s="6"/>
      <c r="P574" s="6"/>
      <c r="Q574" s="6"/>
      <c r="R574" s="6"/>
      <c r="S574" s="6"/>
      <c r="T574" s="6"/>
      <c r="U574"/>
      <c r="V574"/>
      <c r="W574"/>
      <c r="X574"/>
    </row>
    <row r="575" spans="1:24" ht="33.75" x14ac:dyDescent="0.2">
      <c r="A575" s="18">
        <v>568</v>
      </c>
      <c r="B575" s="21" t="s">
        <v>567</v>
      </c>
      <c r="C575" s="5" t="s">
        <v>909</v>
      </c>
      <c r="D575" s="13">
        <v>142</v>
      </c>
      <c r="E575" s="21" t="s">
        <v>567</v>
      </c>
      <c r="F575" s="15" t="s">
        <v>42</v>
      </c>
      <c r="G575" s="20">
        <v>100</v>
      </c>
      <c r="H575" s="24">
        <f>60/1.12</f>
        <v>53.571428571428569</v>
      </c>
      <c r="I575" s="23">
        <f t="shared" si="9"/>
        <v>5357.1428571428569</v>
      </c>
      <c r="J575" s="12" t="s">
        <v>43</v>
      </c>
      <c r="K575" s="12" t="s">
        <v>41</v>
      </c>
      <c r="L575" s="6"/>
      <c r="M575" s="6"/>
      <c r="N575" s="6"/>
      <c r="O575" s="6"/>
      <c r="P575" s="6"/>
      <c r="Q575" s="6"/>
      <c r="R575" s="6"/>
      <c r="S575" s="6"/>
      <c r="T575" s="6"/>
      <c r="U575"/>
      <c r="V575"/>
      <c r="W575"/>
      <c r="X575"/>
    </row>
    <row r="576" spans="1:24" ht="33.75" x14ac:dyDescent="0.2">
      <c r="A576" s="18">
        <v>569</v>
      </c>
      <c r="B576" s="21" t="s">
        <v>568</v>
      </c>
      <c r="C576" s="5" t="s">
        <v>909</v>
      </c>
      <c r="D576" s="13">
        <v>142</v>
      </c>
      <c r="E576" s="21" t="s">
        <v>568</v>
      </c>
      <c r="F576" s="15" t="s">
        <v>42</v>
      </c>
      <c r="G576" s="20">
        <v>100</v>
      </c>
      <c r="H576" s="24">
        <f>120/1.12</f>
        <v>107.14285714285714</v>
      </c>
      <c r="I576" s="23">
        <f t="shared" si="9"/>
        <v>10714.285714285714</v>
      </c>
      <c r="J576" s="12" t="s">
        <v>43</v>
      </c>
      <c r="K576" s="12" t="s">
        <v>41</v>
      </c>
      <c r="L576" s="6"/>
      <c r="M576" s="6"/>
      <c r="N576" s="6"/>
      <c r="O576" s="6"/>
      <c r="P576" s="6"/>
      <c r="Q576" s="6"/>
      <c r="R576" s="6"/>
      <c r="S576" s="6"/>
      <c r="T576" s="6"/>
      <c r="U576"/>
      <c r="V576"/>
      <c r="W576"/>
      <c r="X576"/>
    </row>
    <row r="577" spans="1:24" ht="33.75" x14ac:dyDescent="0.2">
      <c r="A577" s="18">
        <v>570</v>
      </c>
      <c r="B577" s="21" t="s">
        <v>569</v>
      </c>
      <c r="C577" s="5" t="s">
        <v>909</v>
      </c>
      <c r="D577" s="13">
        <v>142</v>
      </c>
      <c r="E577" s="21" t="s">
        <v>569</v>
      </c>
      <c r="F577" s="15" t="s">
        <v>42</v>
      </c>
      <c r="G577" s="20">
        <v>100</v>
      </c>
      <c r="H577" s="24">
        <f>130/1.12</f>
        <v>116.07142857142856</v>
      </c>
      <c r="I577" s="23">
        <f t="shared" si="9"/>
        <v>11607.142857142855</v>
      </c>
      <c r="J577" s="12" t="s">
        <v>43</v>
      </c>
      <c r="K577" s="12" t="s">
        <v>41</v>
      </c>
      <c r="L577" s="6"/>
      <c r="M577" s="6"/>
      <c r="N577" s="6"/>
      <c r="O577" s="6"/>
      <c r="P577" s="6"/>
      <c r="Q577" s="6"/>
      <c r="R577" s="6"/>
      <c r="S577" s="6"/>
      <c r="T577" s="6"/>
      <c r="U577"/>
      <c r="V577"/>
      <c r="W577"/>
      <c r="X577"/>
    </row>
    <row r="578" spans="1:24" ht="45" x14ac:dyDescent="0.2">
      <c r="A578" s="18">
        <v>571</v>
      </c>
      <c r="B578" s="21" t="s">
        <v>570</v>
      </c>
      <c r="C578" s="5" t="s">
        <v>909</v>
      </c>
      <c r="D578" s="13">
        <v>142</v>
      </c>
      <c r="E578" s="21" t="s">
        <v>570</v>
      </c>
      <c r="F578" s="15" t="s">
        <v>42</v>
      </c>
      <c r="G578" s="20">
        <v>200</v>
      </c>
      <c r="H578" s="24">
        <f>250/1.12</f>
        <v>223.21428571428569</v>
      </c>
      <c r="I578" s="23">
        <f t="shared" si="9"/>
        <v>44642.857142857138</v>
      </c>
      <c r="J578" s="12" t="s">
        <v>43</v>
      </c>
      <c r="K578" s="12" t="s">
        <v>41</v>
      </c>
      <c r="L578" s="6"/>
      <c r="M578" s="6"/>
      <c r="N578" s="6"/>
      <c r="O578" s="6"/>
      <c r="P578" s="6"/>
      <c r="Q578" s="6"/>
      <c r="R578" s="6"/>
      <c r="S578" s="6"/>
      <c r="T578" s="6"/>
      <c r="U578"/>
      <c r="V578"/>
      <c r="W578"/>
      <c r="X578"/>
    </row>
    <row r="579" spans="1:24" ht="33.75" x14ac:dyDescent="0.2">
      <c r="A579" s="18">
        <v>572</v>
      </c>
      <c r="B579" s="21" t="s">
        <v>571</v>
      </c>
      <c r="C579" s="5" t="s">
        <v>909</v>
      </c>
      <c r="D579" s="13">
        <v>142</v>
      </c>
      <c r="E579" s="21" t="s">
        <v>571</v>
      </c>
      <c r="F579" s="15" t="s">
        <v>42</v>
      </c>
      <c r="G579" s="20">
        <v>1</v>
      </c>
      <c r="H579" s="24">
        <f>3000/1.12</f>
        <v>2678.5714285714284</v>
      </c>
      <c r="I579" s="23">
        <f t="shared" si="9"/>
        <v>2678.5714285714284</v>
      </c>
      <c r="J579" s="12" t="s">
        <v>43</v>
      </c>
      <c r="K579" s="12" t="s">
        <v>41</v>
      </c>
      <c r="L579" s="6"/>
      <c r="M579" s="6"/>
      <c r="N579" s="6"/>
      <c r="O579" s="6"/>
      <c r="P579" s="6"/>
      <c r="Q579" s="6"/>
      <c r="R579" s="6"/>
      <c r="S579" s="6"/>
      <c r="T579" s="6"/>
      <c r="U579"/>
      <c r="V579"/>
      <c r="W579"/>
      <c r="X579"/>
    </row>
    <row r="580" spans="1:24" ht="33.75" x14ac:dyDescent="0.2">
      <c r="A580" s="18">
        <v>573</v>
      </c>
      <c r="B580" s="21" t="s">
        <v>572</v>
      </c>
      <c r="C580" s="5" t="s">
        <v>909</v>
      </c>
      <c r="D580" s="13">
        <v>142</v>
      </c>
      <c r="E580" s="21" t="s">
        <v>572</v>
      </c>
      <c r="F580" s="15" t="s">
        <v>42</v>
      </c>
      <c r="G580" s="20">
        <v>1</v>
      </c>
      <c r="H580" s="24">
        <f>2500/1.12</f>
        <v>2232.1428571428569</v>
      </c>
      <c r="I580" s="23">
        <f t="shared" si="9"/>
        <v>2232.1428571428569</v>
      </c>
      <c r="J580" s="12" t="s">
        <v>43</v>
      </c>
      <c r="K580" s="12" t="s">
        <v>41</v>
      </c>
      <c r="L580" s="6"/>
      <c r="M580" s="6"/>
      <c r="N580" s="6"/>
      <c r="O580" s="6"/>
      <c r="P580" s="6"/>
      <c r="Q580" s="6"/>
      <c r="R580" s="6"/>
      <c r="S580" s="6"/>
      <c r="T580" s="6"/>
      <c r="U580"/>
      <c r="V580"/>
      <c r="W580"/>
      <c r="X580"/>
    </row>
    <row r="581" spans="1:24" ht="33.75" x14ac:dyDescent="0.2">
      <c r="A581" s="18">
        <v>574</v>
      </c>
      <c r="B581" s="21" t="s">
        <v>573</v>
      </c>
      <c r="C581" s="5" t="s">
        <v>909</v>
      </c>
      <c r="D581" s="13">
        <v>142</v>
      </c>
      <c r="E581" s="21" t="s">
        <v>573</v>
      </c>
      <c r="F581" s="15" t="s">
        <v>42</v>
      </c>
      <c r="G581" s="20">
        <v>1</v>
      </c>
      <c r="H581" s="24">
        <f>2000/1.12</f>
        <v>1785.7142857142856</v>
      </c>
      <c r="I581" s="23">
        <f t="shared" si="9"/>
        <v>1785.7142857142856</v>
      </c>
      <c r="J581" s="12" t="s">
        <v>43</v>
      </c>
      <c r="K581" s="12" t="s">
        <v>41</v>
      </c>
      <c r="L581" s="6"/>
      <c r="M581" s="6"/>
      <c r="N581" s="6"/>
      <c r="O581" s="6"/>
      <c r="P581" s="6"/>
      <c r="Q581" s="6"/>
      <c r="R581" s="6"/>
      <c r="S581" s="6"/>
      <c r="T581" s="6"/>
      <c r="U581"/>
      <c r="V581"/>
      <c r="W581"/>
      <c r="X581"/>
    </row>
    <row r="582" spans="1:24" ht="33.75" x14ac:dyDescent="0.2">
      <c r="A582" s="18">
        <v>575</v>
      </c>
      <c r="B582" s="21" t="s">
        <v>574</v>
      </c>
      <c r="C582" s="5" t="s">
        <v>909</v>
      </c>
      <c r="D582" s="13">
        <v>142</v>
      </c>
      <c r="E582" s="21" t="s">
        <v>574</v>
      </c>
      <c r="F582" s="15" t="s">
        <v>42</v>
      </c>
      <c r="G582" s="20">
        <v>2</v>
      </c>
      <c r="H582" s="24">
        <f>1140/1.12</f>
        <v>1017.8571428571428</v>
      </c>
      <c r="I582" s="23">
        <f t="shared" si="9"/>
        <v>2035.7142857142856</v>
      </c>
      <c r="J582" s="12" t="s">
        <v>43</v>
      </c>
      <c r="K582" s="12" t="s">
        <v>41</v>
      </c>
      <c r="L582" s="6"/>
      <c r="M582" s="6"/>
      <c r="N582" s="6"/>
      <c r="O582" s="6"/>
      <c r="P582" s="6"/>
      <c r="Q582" s="6"/>
      <c r="R582" s="6"/>
      <c r="S582" s="6"/>
      <c r="T582" s="6"/>
      <c r="U582"/>
      <c r="V582"/>
      <c r="W582"/>
      <c r="X582"/>
    </row>
    <row r="583" spans="1:24" ht="33.75" x14ac:dyDescent="0.2">
      <c r="A583" s="18">
        <v>576</v>
      </c>
      <c r="B583" s="21" t="s">
        <v>575</v>
      </c>
      <c r="C583" s="5" t="s">
        <v>909</v>
      </c>
      <c r="D583" s="13">
        <v>142</v>
      </c>
      <c r="E583" s="21" t="s">
        <v>575</v>
      </c>
      <c r="F583" s="15" t="s">
        <v>42</v>
      </c>
      <c r="G583" s="20">
        <v>2</v>
      </c>
      <c r="H583" s="24">
        <f>1400/1.12</f>
        <v>1249.9999999999998</v>
      </c>
      <c r="I583" s="23">
        <f t="shared" si="9"/>
        <v>2499.9999999999995</v>
      </c>
      <c r="J583" s="12" t="s">
        <v>43</v>
      </c>
      <c r="K583" s="12" t="s">
        <v>41</v>
      </c>
      <c r="L583" s="6"/>
      <c r="M583" s="6"/>
      <c r="N583" s="6"/>
      <c r="O583" s="6"/>
      <c r="P583" s="6"/>
      <c r="Q583" s="6"/>
      <c r="R583" s="6"/>
      <c r="S583" s="6"/>
      <c r="T583" s="6"/>
      <c r="U583"/>
      <c r="V583"/>
      <c r="W583"/>
      <c r="X583"/>
    </row>
    <row r="584" spans="1:24" ht="33.75" x14ac:dyDescent="0.2">
      <c r="A584" s="18">
        <v>577</v>
      </c>
      <c r="B584" s="21" t="s">
        <v>576</v>
      </c>
      <c r="C584" s="5" t="s">
        <v>909</v>
      </c>
      <c r="D584" s="13">
        <v>142</v>
      </c>
      <c r="E584" s="21" t="s">
        <v>576</v>
      </c>
      <c r="F584" s="15" t="s">
        <v>42</v>
      </c>
      <c r="G584" s="20">
        <v>10</v>
      </c>
      <c r="H584" s="24">
        <f>900/1.12</f>
        <v>803.57142857142844</v>
      </c>
      <c r="I584" s="23">
        <f t="shared" si="9"/>
        <v>8035.7142857142844</v>
      </c>
      <c r="J584" s="12" t="s">
        <v>43</v>
      </c>
      <c r="K584" s="12" t="s">
        <v>41</v>
      </c>
      <c r="L584" s="6"/>
      <c r="M584" s="6"/>
      <c r="N584" s="6"/>
      <c r="O584" s="6"/>
      <c r="P584" s="6"/>
      <c r="Q584" s="6"/>
      <c r="R584" s="6"/>
      <c r="S584" s="6"/>
      <c r="T584" s="6"/>
      <c r="U584"/>
      <c r="V584"/>
      <c r="W584"/>
      <c r="X584"/>
    </row>
    <row r="585" spans="1:24" ht="33.75" x14ac:dyDescent="0.2">
      <c r="A585" s="18">
        <v>578</v>
      </c>
      <c r="B585" s="21" t="s">
        <v>577</v>
      </c>
      <c r="C585" s="5" t="s">
        <v>909</v>
      </c>
      <c r="D585" s="13">
        <v>142</v>
      </c>
      <c r="E585" s="21" t="s">
        <v>577</v>
      </c>
      <c r="F585" s="15" t="s">
        <v>42</v>
      </c>
      <c r="G585" s="20">
        <v>10</v>
      </c>
      <c r="H585" s="24">
        <f>950/1.12</f>
        <v>848.21428571428567</v>
      </c>
      <c r="I585" s="23">
        <f t="shared" si="9"/>
        <v>8482.1428571428569</v>
      </c>
      <c r="J585" s="12" t="s">
        <v>43</v>
      </c>
      <c r="K585" s="12" t="s">
        <v>41</v>
      </c>
      <c r="L585" s="6"/>
      <c r="M585" s="6"/>
      <c r="N585" s="6"/>
      <c r="O585" s="6"/>
      <c r="P585" s="6"/>
      <c r="Q585" s="6"/>
      <c r="R585" s="6"/>
      <c r="S585" s="6"/>
      <c r="T585" s="6"/>
      <c r="U585"/>
      <c r="V585"/>
      <c r="W585"/>
      <c r="X585"/>
    </row>
    <row r="586" spans="1:24" ht="33.75" x14ac:dyDescent="0.2">
      <c r="A586" s="18">
        <v>579</v>
      </c>
      <c r="B586" s="21" t="s">
        <v>578</v>
      </c>
      <c r="C586" s="5" t="s">
        <v>909</v>
      </c>
      <c r="D586" s="13">
        <v>142</v>
      </c>
      <c r="E586" s="21" t="s">
        <v>578</v>
      </c>
      <c r="F586" s="15" t="s">
        <v>42</v>
      </c>
      <c r="G586" s="20">
        <v>1</v>
      </c>
      <c r="H586" s="24">
        <f>3600/1.12</f>
        <v>3214.2857142857138</v>
      </c>
      <c r="I586" s="23">
        <f t="shared" si="9"/>
        <v>3214.2857142857138</v>
      </c>
      <c r="J586" s="12" t="s">
        <v>43</v>
      </c>
      <c r="K586" s="12" t="s">
        <v>41</v>
      </c>
      <c r="L586" s="6"/>
      <c r="M586" s="6"/>
      <c r="N586" s="6"/>
      <c r="O586" s="6"/>
      <c r="P586" s="6"/>
      <c r="Q586" s="6"/>
      <c r="R586" s="6"/>
      <c r="S586" s="6"/>
      <c r="T586" s="6"/>
      <c r="U586"/>
      <c r="V586"/>
      <c r="W586"/>
      <c r="X586"/>
    </row>
    <row r="587" spans="1:24" ht="33.75" x14ac:dyDescent="0.2">
      <c r="A587" s="18">
        <v>580</v>
      </c>
      <c r="B587" s="21" t="s">
        <v>579</v>
      </c>
      <c r="C587" s="5" t="s">
        <v>909</v>
      </c>
      <c r="D587" s="13">
        <v>142</v>
      </c>
      <c r="E587" s="21" t="s">
        <v>579</v>
      </c>
      <c r="F587" s="15" t="s">
        <v>42</v>
      </c>
      <c r="G587" s="20">
        <v>1</v>
      </c>
      <c r="H587" s="24">
        <f>1400/1.12</f>
        <v>1249.9999999999998</v>
      </c>
      <c r="I587" s="23">
        <f t="shared" si="9"/>
        <v>1249.9999999999998</v>
      </c>
      <c r="J587" s="12" t="s">
        <v>43</v>
      </c>
      <c r="K587" s="12" t="s">
        <v>41</v>
      </c>
      <c r="L587" s="6"/>
      <c r="M587" s="6"/>
      <c r="N587" s="6"/>
      <c r="O587" s="6"/>
      <c r="P587" s="6"/>
      <c r="Q587" s="6"/>
      <c r="R587" s="6"/>
      <c r="S587" s="6"/>
      <c r="T587" s="6"/>
      <c r="U587"/>
      <c r="V587"/>
      <c r="W587"/>
      <c r="X587"/>
    </row>
    <row r="588" spans="1:24" ht="33.75" x14ac:dyDescent="0.2">
      <c r="A588" s="18">
        <v>581</v>
      </c>
      <c r="B588" s="21" t="s">
        <v>580</v>
      </c>
      <c r="C588" s="5" t="s">
        <v>909</v>
      </c>
      <c r="D588" s="13">
        <v>142</v>
      </c>
      <c r="E588" s="21" t="s">
        <v>580</v>
      </c>
      <c r="F588" s="15" t="s">
        <v>42</v>
      </c>
      <c r="G588" s="20">
        <v>1</v>
      </c>
      <c r="H588" s="24">
        <f>1500/1.12</f>
        <v>1339.2857142857142</v>
      </c>
      <c r="I588" s="23">
        <f t="shared" si="9"/>
        <v>1339.2857142857142</v>
      </c>
      <c r="J588" s="12" t="s">
        <v>43</v>
      </c>
      <c r="K588" s="12" t="s">
        <v>41</v>
      </c>
      <c r="L588" s="6"/>
      <c r="M588" s="6"/>
      <c r="N588" s="6"/>
      <c r="O588" s="6"/>
      <c r="P588" s="6"/>
      <c r="Q588" s="6"/>
      <c r="R588" s="6"/>
      <c r="S588" s="6"/>
      <c r="T588" s="6"/>
      <c r="U588"/>
      <c r="V588"/>
      <c r="W588"/>
      <c r="X588"/>
    </row>
    <row r="589" spans="1:24" ht="33.75" x14ac:dyDescent="0.2">
      <c r="A589" s="18">
        <v>582</v>
      </c>
      <c r="B589" s="21" t="s">
        <v>581</v>
      </c>
      <c r="C589" s="5" t="s">
        <v>909</v>
      </c>
      <c r="D589" s="13">
        <v>142</v>
      </c>
      <c r="E589" s="21" t="s">
        <v>581</v>
      </c>
      <c r="F589" s="15" t="s">
        <v>698</v>
      </c>
      <c r="G589" s="20">
        <v>20</v>
      </c>
      <c r="H589" s="24">
        <f>2000/1.12</f>
        <v>1785.7142857142856</v>
      </c>
      <c r="I589" s="23">
        <f t="shared" si="9"/>
        <v>35714.28571428571</v>
      </c>
      <c r="J589" s="12" t="s">
        <v>43</v>
      </c>
      <c r="K589" s="12" t="s">
        <v>41</v>
      </c>
      <c r="L589" s="6"/>
      <c r="M589" s="6"/>
      <c r="N589" s="6"/>
      <c r="O589" s="6"/>
      <c r="P589" s="6"/>
      <c r="Q589" s="6"/>
      <c r="R589" s="6"/>
      <c r="S589" s="6"/>
      <c r="T589" s="6"/>
      <c r="U589"/>
      <c r="V589"/>
      <c r="W589"/>
      <c r="X589"/>
    </row>
    <row r="590" spans="1:24" ht="33.75" x14ac:dyDescent="0.2">
      <c r="A590" s="18">
        <v>583</v>
      </c>
      <c r="B590" s="21" t="s">
        <v>582</v>
      </c>
      <c r="C590" s="5" t="s">
        <v>909</v>
      </c>
      <c r="D590" s="13">
        <v>142</v>
      </c>
      <c r="E590" s="21" t="s">
        <v>582</v>
      </c>
      <c r="F590" s="15" t="s">
        <v>699</v>
      </c>
      <c r="G590" s="20">
        <v>10</v>
      </c>
      <c r="H590" s="24">
        <f>1600/1.12</f>
        <v>1428.5714285714284</v>
      </c>
      <c r="I590" s="23">
        <f t="shared" si="9"/>
        <v>14285.714285714284</v>
      </c>
      <c r="J590" s="12" t="s">
        <v>43</v>
      </c>
      <c r="K590" s="12" t="s">
        <v>41</v>
      </c>
      <c r="L590" s="6"/>
      <c r="M590" s="6"/>
      <c r="N590" s="6"/>
      <c r="O590" s="6"/>
      <c r="P590" s="6"/>
      <c r="Q590" s="6"/>
      <c r="R590" s="6"/>
      <c r="S590" s="6"/>
      <c r="T590" s="6"/>
      <c r="U590"/>
      <c r="V590"/>
      <c r="W590"/>
      <c r="X590"/>
    </row>
    <row r="591" spans="1:24" ht="33.75" x14ac:dyDescent="0.2">
      <c r="A591" s="18">
        <v>584</v>
      </c>
      <c r="B591" s="21" t="s">
        <v>583</v>
      </c>
      <c r="C591" s="5" t="s">
        <v>909</v>
      </c>
      <c r="D591" s="13">
        <v>142</v>
      </c>
      <c r="E591" s="21" t="s">
        <v>583</v>
      </c>
      <c r="F591" s="15" t="s">
        <v>42</v>
      </c>
      <c r="G591" s="20">
        <v>20</v>
      </c>
      <c r="H591" s="24">
        <f>350/1.12</f>
        <v>312.49999999999994</v>
      </c>
      <c r="I591" s="23">
        <f t="shared" ref="I591:I654" si="10">G591*H591</f>
        <v>6249.9999999999991</v>
      </c>
      <c r="J591" s="12" t="s">
        <v>43</v>
      </c>
      <c r="K591" s="12" t="s">
        <v>41</v>
      </c>
      <c r="L591" s="6"/>
      <c r="M591" s="6"/>
      <c r="N591" s="6"/>
      <c r="O591" s="6"/>
      <c r="P591" s="6"/>
      <c r="Q591" s="6"/>
      <c r="R591" s="6"/>
      <c r="S591" s="6"/>
      <c r="T591" s="6"/>
      <c r="U591"/>
      <c r="V591"/>
      <c r="W591"/>
      <c r="X591"/>
    </row>
    <row r="592" spans="1:24" ht="78.75" x14ac:dyDescent="0.2">
      <c r="A592" s="18">
        <v>585</v>
      </c>
      <c r="B592" s="21" t="s">
        <v>584</v>
      </c>
      <c r="C592" s="5" t="s">
        <v>909</v>
      </c>
      <c r="D592" s="13">
        <v>142</v>
      </c>
      <c r="E592" s="21" t="s">
        <v>584</v>
      </c>
      <c r="F592" s="15" t="s">
        <v>42</v>
      </c>
      <c r="G592" s="20">
        <v>6</v>
      </c>
      <c r="H592" s="24">
        <f>2360/1.12</f>
        <v>2107.1428571428569</v>
      </c>
      <c r="I592" s="23">
        <f t="shared" si="10"/>
        <v>12642.857142857141</v>
      </c>
      <c r="J592" s="12" t="s">
        <v>43</v>
      </c>
      <c r="K592" s="12" t="s">
        <v>41</v>
      </c>
      <c r="L592" s="6"/>
      <c r="M592" s="6"/>
      <c r="N592" s="6"/>
      <c r="O592" s="6"/>
      <c r="P592" s="6"/>
      <c r="Q592" s="6"/>
      <c r="R592" s="6"/>
      <c r="S592" s="6"/>
      <c r="T592" s="6"/>
      <c r="U592"/>
      <c r="V592"/>
      <c r="W592"/>
      <c r="X592"/>
    </row>
    <row r="593" spans="1:24" ht="78.75" x14ac:dyDescent="0.2">
      <c r="A593" s="18">
        <v>586</v>
      </c>
      <c r="B593" s="21" t="s">
        <v>585</v>
      </c>
      <c r="C593" s="5" t="s">
        <v>909</v>
      </c>
      <c r="D593" s="13">
        <v>142</v>
      </c>
      <c r="E593" s="21" t="s">
        <v>585</v>
      </c>
      <c r="F593" s="15" t="s">
        <v>48</v>
      </c>
      <c r="G593" s="20">
        <v>2</v>
      </c>
      <c r="H593" s="24">
        <f>2450/1.12</f>
        <v>2187.5</v>
      </c>
      <c r="I593" s="23">
        <f t="shared" si="10"/>
        <v>4375</v>
      </c>
      <c r="J593" s="12" t="s">
        <v>43</v>
      </c>
      <c r="K593" s="12" t="s">
        <v>41</v>
      </c>
      <c r="L593" s="6"/>
      <c r="M593" s="6"/>
      <c r="N593" s="6"/>
      <c r="O593" s="6"/>
      <c r="P593" s="6"/>
      <c r="Q593" s="6"/>
      <c r="R593" s="6"/>
      <c r="S593" s="6"/>
      <c r="T593" s="6"/>
      <c r="U593"/>
      <c r="V593"/>
      <c r="W593"/>
      <c r="X593"/>
    </row>
    <row r="594" spans="1:24" ht="56.25" x14ac:dyDescent="0.2">
      <c r="A594" s="18">
        <v>587</v>
      </c>
      <c r="B594" s="21" t="s">
        <v>586</v>
      </c>
      <c r="C594" s="5" t="s">
        <v>909</v>
      </c>
      <c r="D594" s="13">
        <v>142</v>
      </c>
      <c r="E594" s="21" t="s">
        <v>586</v>
      </c>
      <c r="F594" s="15" t="s">
        <v>48</v>
      </c>
      <c r="G594" s="20">
        <v>2</v>
      </c>
      <c r="H594" s="24">
        <f>2560/1.12</f>
        <v>2285.7142857142853</v>
      </c>
      <c r="I594" s="23">
        <f t="shared" si="10"/>
        <v>4571.4285714285706</v>
      </c>
      <c r="J594" s="12" t="s">
        <v>43</v>
      </c>
      <c r="K594" s="12" t="s">
        <v>41</v>
      </c>
      <c r="L594" s="6"/>
      <c r="M594" s="6"/>
      <c r="N594" s="6"/>
      <c r="O594" s="6"/>
      <c r="P594" s="6"/>
      <c r="Q594" s="6"/>
      <c r="R594" s="6"/>
      <c r="S594" s="6"/>
      <c r="T594" s="6"/>
      <c r="U594"/>
      <c r="V594"/>
      <c r="W594"/>
      <c r="X594"/>
    </row>
    <row r="595" spans="1:24" ht="56.25" x14ac:dyDescent="0.2">
      <c r="A595" s="18">
        <v>588</v>
      </c>
      <c r="B595" s="21" t="s">
        <v>587</v>
      </c>
      <c r="C595" s="5" t="s">
        <v>909</v>
      </c>
      <c r="D595" s="13">
        <v>142</v>
      </c>
      <c r="E595" s="21" t="s">
        <v>587</v>
      </c>
      <c r="F595" s="15" t="s">
        <v>48</v>
      </c>
      <c r="G595" s="20">
        <v>1</v>
      </c>
      <c r="H595" s="24">
        <f>2600/1.12</f>
        <v>2321.4285714285711</v>
      </c>
      <c r="I595" s="23">
        <f t="shared" si="10"/>
        <v>2321.4285714285711</v>
      </c>
      <c r="J595" s="12" t="s">
        <v>43</v>
      </c>
      <c r="K595" s="12" t="s">
        <v>41</v>
      </c>
      <c r="L595" s="6"/>
      <c r="M595" s="6"/>
      <c r="N595" s="6"/>
      <c r="O595" s="6"/>
      <c r="P595" s="6"/>
      <c r="Q595" s="6"/>
      <c r="R595" s="6"/>
      <c r="S595" s="6"/>
      <c r="T595" s="6"/>
      <c r="U595"/>
      <c r="V595"/>
      <c r="W595"/>
      <c r="X595"/>
    </row>
    <row r="596" spans="1:24" ht="33.75" x14ac:dyDescent="0.2">
      <c r="A596" s="18">
        <v>589</v>
      </c>
      <c r="B596" s="21" t="s">
        <v>317</v>
      </c>
      <c r="C596" s="5" t="s">
        <v>909</v>
      </c>
      <c r="D596" s="13">
        <v>142</v>
      </c>
      <c r="E596" s="21" t="s">
        <v>317</v>
      </c>
      <c r="F596" s="15" t="s">
        <v>42</v>
      </c>
      <c r="G596" s="20">
        <v>100</v>
      </c>
      <c r="H596" s="24">
        <f>3200/1.12</f>
        <v>2857.1428571428569</v>
      </c>
      <c r="I596" s="23">
        <f t="shared" si="10"/>
        <v>285714.28571428568</v>
      </c>
      <c r="J596" s="12" t="s">
        <v>43</v>
      </c>
      <c r="K596" s="12" t="s">
        <v>41</v>
      </c>
      <c r="L596" s="6"/>
      <c r="M596" s="6"/>
      <c r="N596" s="6"/>
      <c r="O596" s="6"/>
      <c r="P596" s="6"/>
      <c r="Q596" s="6"/>
      <c r="R596" s="6"/>
      <c r="S596" s="6"/>
      <c r="T596" s="6"/>
      <c r="U596"/>
      <c r="V596"/>
      <c r="W596"/>
      <c r="X596"/>
    </row>
    <row r="597" spans="1:24" ht="101.25" x14ac:dyDescent="0.2">
      <c r="A597" s="18">
        <v>590</v>
      </c>
      <c r="B597" s="21" t="s">
        <v>588</v>
      </c>
      <c r="C597" s="5" t="s">
        <v>909</v>
      </c>
      <c r="D597" s="13">
        <v>142</v>
      </c>
      <c r="E597" s="21" t="s">
        <v>588</v>
      </c>
      <c r="F597" s="15" t="s">
        <v>42</v>
      </c>
      <c r="G597" s="20">
        <v>1</v>
      </c>
      <c r="H597" s="24">
        <f>2800/1.12</f>
        <v>2499.9999999999995</v>
      </c>
      <c r="I597" s="23">
        <f t="shared" si="10"/>
        <v>2499.9999999999995</v>
      </c>
      <c r="J597" s="12" t="s">
        <v>43</v>
      </c>
      <c r="K597" s="12" t="s">
        <v>41</v>
      </c>
      <c r="L597" s="6"/>
      <c r="M597" s="6"/>
      <c r="N597" s="6"/>
      <c r="O597" s="6"/>
      <c r="P597" s="6"/>
      <c r="Q597" s="6"/>
      <c r="R597" s="6"/>
      <c r="S597" s="6"/>
      <c r="T597" s="6"/>
      <c r="U597"/>
      <c r="V597"/>
      <c r="W597"/>
      <c r="X597"/>
    </row>
    <row r="598" spans="1:24" ht="33.75" x14ac:dyDescent="0.2">
      <c r="A598" s="18">
        <v>591</v>
      </c>
      <c r="B598" s="21" t="s">
        <v>589</v>
      </c>
      <c r="C598" s="5" t="s">
        <v>909</v>
      </c>
      <c r="D598" s="13">
        <v>142</v>
      </c>
      <c r="E598" s="21" t="s">
        <v>589</v>
      </c>
      <c r="F598" s="15" t="s">
        <v>50</v>
      </c>
      <c r="G598" s="20">
        <v>50</v>
      </c>
      <c r="H598" s="24">
        <f>287100/1.12</f>
        <v>256339.28571428568</v>
      </c>
      <c r="I598" s="23">
        <f t="shared" si="10"/>
        <v>12816964.285714284</v>
      </c>
      <c r="J598" s="12" t="s">
        <v>43</v>
      </c>
      <c r="K598" s="12" t="s">
        <v>41</v>
      </c>
      <c r="L598" s="6"/>
      <c r="M598" s="6"/>
      <c r="N598" s="6"/>
      <c r="O598" s="6"/>
      <c r="P598" s="6"/>
      <c r="Q598" s="6"/>
      <c r="R598" s="6"/>
      <c r="S598" s="6"/>
      <c r="T598" s="6"/>
      <c r="U598"/>
      <c r="V598"/>
      <c r="W598"/>
      <c r="X598"/>
    </row>
    <row r="599" spans="1:24" ht="33.75" x14ac:dyDescent="0.2">
      <c r="A599" s="18">
        <v>592</v>
      </c>
      <c r="B599" s="21" t="s">
        <v>590</v>
      </c>
      <c r="C599" s="5" t="s">
        <v>909</v>
      </c>
      <c r="D599" s="13">
        <v>142</v>
      </c>
      <c r="E599" s="21" t="s">
        <v>590</v>
      </c>
      <c r="F599" s="15" t="s">
        <v>51</v>
      </c>
      <c r="G599" s="20">
        <v>10</v>
      </c>
      <c r="H599" s="24">
        <f>88560/1.12</f>
        <v>79071.428571428565</v>
      </c>
      <c r="I599" s="23">
        <f t="shared" si="10"/>
        <v>790714.28571428568</v>
      </c>
      <c r="J599" s="12" t="s">
        <v>43</v>
      </c>
      <c r="K599" s="12" t="s">
        <v>41</v>
      </c>
      <c r="L599" s="6"/>
      <c r="M599" s="6"/>
      <c r="N599" s="6"/>
      <c r="O599" s="6"/>
      <c r="P599" s="6"/>
      <c r="Q599" s="6"/>
      <c r="R599" s="6"/>
      <c r="S599" s="6"/>
      <c r="T599" s="6"/>
      <c r="U599"/>
      <c r="V599"/>
      <c r="W599"/>
      <c r="X599"/>
    </row>
    <row r="600" spans="1:24" ht="33.75" x14ac:dyDescent="0.2">
      <c r="A600" s="18">
        <v>593</v>
      </c>
      <c r="B600" s="21" t="s">
        <v>591</v>
      </c>
      <c r="C600" s="5" t="s">
        <v>909</v>
      </c>
      <c r="D600" s="13">
        <v>142</v>
      </c>
      <c r="E600" s="21" t="s">
        <v>591</v>
      </c>
      <c r="F600" s="15" t="s">
        <v>51</v>
      </c>
      <c r="G600" s="20">
        <v>10</v>
      </c>
      <c r="H600" s="24">
        <f>81498/1.12</f>
        <v>72766.07142857142</v>
      </c>
      <c r="I600" s="23">
        <f t="shared" si="10"/>
        <v>727660.7142857142</v>
      </c>
      <c r="J600" s="12" t="s">
        <v>43</v>
      </c>
      <c r="K600" s="12" t="s">
        <v>41</v>
      </c>
      <c r="L600" s="6"/>
      <c r="M600" s="6"/>
      <c r="N600" s="6"/>
      <c r="O600" s="6"/>
      <c r="P600" s="6"/>
      <c r="Q600" s="6"/>
      <c r="R600" s="6"/>
      <c r="S600" s="6"/>
      <c r="T600" s="6"/>
      <c r="U600"/>
      <c r="V600"/>
      <c r="W600"/>
      <c r="X600"/>
    </row>
    <row r="601" spans="1:24" ht="33.75" x14ac:dyDescent="0.2">
      <c r="A601" s="18">
        <v>594</v>
      </c>
      <c r="B601" s="21" t="s">
        <v>592</v>
      </c>
      <c r="C601" s="5" t="s">
        <v>909</v>
      </c>
      <c r="D601" s="13">
        <v>142</v>
      </c>
      <c r="E601" s="21" t="s">
        <v>592</v>
      </c>
      <c r="F601" s="15" t="s">
        <v>51</v>
      </c>
      <c r="G601" s="20">
        <v>12</v>
      </c>
      <c r="H601" s="24">
        <f>74675/1.12</f>
        <v>66674.10714285713</v>
      </c>
      <c r="I601" s="23">
        <f t="shared" si="10"/>
        <v>800089.28571428556</v>
      </c>
      <c r="J601" s="12" t="s">
        <v>43</v>
      </c>
      <c r="K601" s="12" t="s">
        <v>41</v>
      </c>
      <c r="L601" s="6"/>
      <c r="M601" s="6"/>
      <c r="N601" s="6"/>
      <c r="O601" s="6"/>
      <c r="P601" s="6"/>
      <c r="Q601" s="6"/>
      <c r="R601" s="6"/>
      <c r="S601" s="6"/>
      <c r="T601" s="6"/>
      <c r="U601"/>
      <c r="V601"/>
      <c r="W601"/>
      <c r="X601"/>
    </row>
    <row r="602" spans="1:24" ht="33.75" x14ac:dyDescent="0.2">
      <c r="A602" s="18">
        <v>595</v>
      </c>
      <c r="B602" s="21" t="s">
        <v>593</v>
      </c>
      <c r="C602" s="5" t="s">
        <v>909</v>
      </c>
      <c r="D602" s="13">
        <v>142</v>
      </c>
      <c r="E602" s="21" t="s">
        <v>593</v>
      </c>
      <c r="F602" s="15" t="s">
        <v>42</v>
      </c>
      <c r="G602" s="20">
        <v>1000</v>
      </c>
      <c r="H602" s="24">
        <f>85/1.12</f>
        <v>75.892857142857139</v>
      </c>
      <c r="I602" s="23">
        <f t="shared" si="10"/>
        <v>75892.857142857145</v>
      </c>
      <c r="J602" s="12" t="s">
        <v>43</v>
      </c>
      <c r="K602" s="12" t="s">
        <v>41</v>
      </c>
      <c r="L602" s="6"/>
      <c r="M602" s="6"/>
      <c r="N602" s="6"/>
      <c r="O602" s="6"/>
      <c r="P602" s="6"/>
      <c r="Q602" s="6"/>
      <c r="R602" s="6"/>
      <c r="S602" s="6"/>
      <c r="T602" s="6"/>
      <c r="U602"/>
      <c r="V602"/>
      <c r="W602"/>
      <c r="X602"/>
    </row>
    <row r="603" spans="1:24" ht="33.75" x14ac:dyDescent="0.2">
      <c r="A603" s="18">
        <v>596</v>
      </c>
      <c r="B603" s="21" t="s">
        <v>594</v>
      </c>
      <c r="C603" s="5" t="s">
        <v>909</v>
      </c>
      <c r="D603" s="13">
        <v>142</v>
      </c>
      <c r="E603" s="21" t="s">
        <v>594</v>
      </c>
      <c r="F603" s="15" t="s">
        <v>50</v>
      </c>
      <c r="G603" s="20">
        <v>3</v>
      </c>
      <c r="H603" s="24">
        <f>285/1.12</f>
        <v>254.46428571428569</v>
      </c>
      <c r="I603" s="23">
        <f t="shared" si="10"/>
        <v>763.39285714285711</v>
      </c>
      <c r="J603" s="12" t="s">
        <v>43</v>
      </c>
      <c r="K603" s="12" t="s">
        <v>41</v>
      </c>
      <c r="L603" s="6"/>
      <c r="M603" s="6"/>
      <c r="N603" s="6"/>
      <c r="O603" s="6"/>
      <c r="P603" s="6"/>
      <c r="Q603" s="6"/>
      <c r="R603" s="6"/>
      <c r="S603" s="6"/>
      <c r="T603" s="6"/>
      <c r="U603"/>
      <c r="V603"/>
      <c r="W603"/>
      <c r="X603"/>
    </row>
    <row r="604" spans="1:24" ht="45" x14ac:dyDescent="0.2">
      <c r="A604" s="18">
        <v>597</v>
      </c>
      <c r="B604" s="21" t="s">
        <v>595</v>
      </c>
      <c r="C604" s="5" t="s">
        <v>909</v>
      </c>
      <c r="D604" s="13">
        <v>142</v>
      </c>
      <c r="E604" s="21" t="s">
        <v>595</v>
      </c>
      <c r="F604" s="15" t="s">
        <v>51</v>
      </c>
      <c r="G604" s="20">
        <v>5</v>
      </c>
      <c r="H604" s="24">
        <f>235868/1.12</f>
        <v>210596.42857142855</v>
      </c>
      <c r="I604" s="23">
        <f t="shared" si="10"/>
        <v>1052982.1428571427</v>
      </c>
      <c r="J604" s="12" t="s">
        <v>43</v>
      </c>
      <c r="K604" s="12" t="s">
        <v>41</v>
      </c>
      <c r="L604" s="6"/>
      <c r="M604" s="6"/>
      <c r="N604" s="6"/>
      <c r="O604" s="6"/>
      <c r="P604" s="6"/>
      <c r="Q604" s="6"/>
      <c r="R604" s="6"/>
      <c r="S604" s="6"/>
      <c r="T604" s="6"/>
      <c r="U604"/>
      <c r="V604"/>
      <c r="W604"/>
      <c r="X604"/>
    </row>
    <row r="605" spans="1:24" ht="56.25" x14ac:dyDescent="0.2">
      <c r="A605" s="18">
        <v>598</v>
      </c>
      <c r="B605" s="21" t="s">
        <v>596</v>
      </c>
      <c r="C605" s="5" t="s">
        <v>909</v>
      </c>
      <c r="D605" s="13">
        <v>142</v>
      </c>
      <c r="E605" s="21" t="s">
        <v>596</v>
      </c>
      <c r="F605" s="15" t="s">
        <v>51</v>
      </c>
      <c r="G605" s="20">
        <v>5</v>
      </c>
      <c r="H605" s="24">
        <f>235868/1.12</f>
        <v>210596.42857142855</v>
      </c>
      <c r="I605" s="23">
        <f t="shared" si="10"/>
        <v>1052982.1428571427</v>
      </c>
      <c r="J605" s="12" t="s">
        <v>43</v>
      </c>
      <c r="K605" s="12" t="s">
        <v>41</v>
      </c>
      <c r="L605" s="6"/>
      <c r="M605" s="6"/>
      <c r="N605" s="6"/>
      <c r="O605" s="6"/>
      <c r="P605" s="6"/>
      <c r="Q605" s="6"/>
      <c r="R605" s="6"/>
      <c r="S605" s="6"/>
      <c r="T605" s="6"/>
      <c r="U605"/>
      <c r="V605"/>
      <c r="W605"/>
      <c r="X605"/>
    </row>
    <row r="606" spans="1:24" ht="67.5" x14ac:dyDescent="0.2">
      <c r="A606" s="18">
        <v>599</v>
      </c>
      <c r="B606" s="21" t="s">
        <v>597</v>
      </c>
      <c r="C606" s="5" t="s">
        <v>909</v>
      </c>
      <c r="D606" s="13">
        <v>142</v>
      </c>
      <c r="E606" s="21" t="s">
        <v>597</v>
      </c>
      <c r="F606" s="15" t="s">
        <v>51</v>
      </c>
      <c r="G606" s="20">
        <v>5</v>
      </c>
      <c r="H606" s="24">
        <f>235868/1.12</f>
        <v>210596.42857142855</v>
      </c>
      <c r="I606" s="23">
        <f t="shared" si="10"/>
        <v>1052982.1428571427</v>
      </c>
      <c r="J606" s="12" t="s">
        <v>43</v>
      </c>
      <c r="K606" s="12" t="s">
        <v>41</v>
      </c>
      <c r="L606" s="6"/>
      <c r="M606" s="6"/>
      <c r="N606" s="6"/>
      <c r="O606" s="6"/>
      <c r="P606" s="6"/>
      <c r="Q606" s="6"/>
      <c r="R606" s="6"/>
      <c r="S606" s="6"/>
      <c r="T606" s="6"/>
      <c r="U606"/>
      <c r="V606"/>
      <c r="W606"/>
      <c r="X606"/>
    </row>
    <row r="607" spans="1:24" ht="67.5" x14ac:dyDescent="0.2">
      <c r="A607" s="18">
        <v>600</v>
      </c>
      <c r="B607" s="21" t="s">
        <v>598</v>
      </c>
      <c r="C607" s="5" t="s">
        <v>909</v>
      </c>
      <c r="D607" s="13">
        <v>142</v>
      </c>
      <c r="E607" s="21" t="s">
        <v>598</v>
      </c>
      <c r="F607" s="15" t="s">
        <v>51</v>
      </c>
      <c r="G607" s="20">
        <v>5</v>
      </c>
      <c r="H607" s="24">
        <f>238676/1.12</f>
        <v>213103.57142857142</v>
      </c>
      <c r="I607" s="23">
        <f t="shared" si="10"/>
        <v>1065517.857142857</v>
      </c>
      <c r="J607" s="12" t="s">
        <v>43</v>
      </c>
      <c r="K607" s="12" t="s">
        <v>41</v>
      </c>
      <c r="L607" s="6"/>
      <c r="M607" s="6"/>
      <c r="N607" s="6"/>
      <c r="O607" s="6"/>
      <c r="P607" s="6"/>
      <c r="Q607" s="6"/>
      <c r="R607" s="6"/>
      <c r="S607" s="6"/>
      <c r="T607" s="6"/>
      <c r="U607"/>
      <c r="V607"/>
      <c r="W607"/>
      <c r="X607"/>
    </row>
    <row r="608" spans="1:24" ht="78.75" x14ac:dyDescent="0.2">
      <c r="A608" s="18">
        <v>601</v>
      </c>
      <c r="B608" s="21" t="s">
        <v>599</v>
      </c>
      <c r="C608" s="5" t="s">
        <v>909</v>
      </c>
      <c r="D608" s="13">
        <v>142</v>
      </c>
      <c r="E608" s="21" t="s">
        <v>599</v>
      </c>
      <c r="F608" s="15" t="s">
        <v>51</v>
      </c>
      <c r="G608" s="20">
        <v>5</v>
      </c>
      <c r="H608" s="24">
        <f>452000/1.12</f>
        <v>403571.42857142852</v>
      </c>
      <c r="I608" s="23">
        <f t="shared" si="10"/>
        <v>2017857.1428571427</v>
      </c>
      <c r="J608" s="12" t="s">
        <v>43</v>
      </c>
      <c r="K608" s="12" t="s">
        <v>41</v>
      </c>
      <c r="L608" s="6"/>
      <c r="M608" s="6"/>
      <c r="N608" s="6"/>
      <c r="O608" s="6"/>
      <c r="P608" s="6"/>
      <c r="Q608" s="6"/>
      <c r="R608" s="6"/>
      <c r="S608" s="6"/>
      <c r="T608" s="6"/>
      <c r="U608"/>
      <c r="V608"/>
      <c r="W608"/>
      <c r="X608"/>
    </row>
    <row r="609" spans="1:24" ht="33.75" x14ac:dyDescent="0.2">
      <c r="A609" s="18">
        <v>602</v>
      </c>
      <c r="B609" s="21" t="s">
        <v>600</v>
      </c>
      <c r="C609" s="5" t="s">
        <v>909</v>
      </c>
      <c r="D609" s="13">
        <v>142</v>
      </c>
      <c r="E609" s="21" t="s">
        <v>600</v>
      </c>
      <c r="F609" s="15" t="s">
        <v>51</v>
      </c>
      <c r="G609" s="20">
        <v>5</v>
      </c>
      <c r="H609" s="24">
        <f>28666/1.12</f>
        <v>25594.642857142855</v>
      </c>
      <c r="I609" s="23">
        <f t="shared" si="10"/>
        <v>127973.21428571428</v>
      </c>
      <c r="J609" s="12" t="s">
        <v>43</v>
      </c>
      <c r="K609" s="12" t="s">
        <v>41</v>
      </c>
      <c r="L609" s="6"/>
      <c r="M609" s="6"/>
      <c r="N609" s="6"/>
      <c r="O609" s="6"/>
      <c r="P609" s="6"/>
      <c r="Q609" s="6"/>
      <c r="R609" s="6"/>
      <c r="S609" s="6"/>
      <c r="T609" s="6"/>
      <c r="U609"/>
      <c r="V609"/>
      <c r="W609"/>
      <c r="X609"/>
    </row>
    <row r="610" spans="1:24" ht="33.75" x14ac:dyDescent="0.2">
      <c r="A610" s="18">
        <v>603</v>
      </c>
      <c r="B610" s="21" t="s">
        <v>601</v>
      </c>
      <c r="C610" s="5" t="s">
        <v>909</v>
      </c>
      <c r="D610" s="13">
        <v>142</v>
      </c>
      <c r="E610" s="21" t="s">
        <v>601</v>
      </c>
      <c r="F610" s="15" t="s">
        <v>40</v>
      </c>
      <c r="G610" s="20">
        <v>1</v>
      </c>
      <c r="H610" s="24">
        <f>1200/1.12</f>
        <v>1071.4285714285713</v>
      </c>
      <c r="I610" s="23">
        <f t="shared" si="10"/>
        <v>1071.4285714285713</v>
      </c>
      <c r="J610" s="12" t="s">
        <v>43</v>
      </c>
      <c r="K610" s="12" t="s">
        <v>41</v>
      </c>
      <c r="L610" s="6"/>
      <c r="M610" s="6"/>
      <c r="N610" s="6"/>
      <c r="O610" s="6"/>
      <c r="P610" s="6"/>
      <c r="Q610" s="6"/>
      <c r="R610" s="6"/>
      <c r="S610" s="6"/>
      <c r="T610" s="6"/>
      <c r="U610"/>
      <c r="V610"/>
      <c r="W610"/>
      <c r="X610"/>
    </row>
    <row r="611" spans="1:24" ht="33.75" x14ac:dyDescent="0.2">
      <c r="A611" s="18">
        <v>604</v>
      </c>
      <c r="B611" s="7" t="s">
        <v>602</v>
      </c>
      <c r="C611" s="5" t="s">
        <v>909</v>
      </c>
      <c r="D611" s="13">
        <v>142</v>
      </c>
      <c r="E611" s="7" t="s">
        <v>602</v>
      </c>
      <c r="F611" s="15" t="s">
        <v>40</v>
      </c>
      <c r="G611" s="20">
        <v>3</v>
      </c>
      <c r="H611" s="24">
        <f>5600/1.12</f>
        <v>4999.9999999999991</v>
      </c>
      <c r="I611" s="23">
        <f t="shared" si="10"/>
        <v>14999.999999999996</v>
      </c>
      <c r="J611" s="12" t="s">
        <v>43</v>
      </c>
      <c r="K611" s="12" t="s">
        <v>41</v>
      </c>
      <c r="L611" s="6"/>
      <c r="M611" s="6"/>
      <c r="N611" s="6"/>
      <c r="O611" s="6"/>
      <c r="P611" s="6"/>
      <c r="Q611" s="6"/>
      <c r="R611" s="6"/>
      <c r="S611" s="6"/>
      <c r="T611" s="6"/>
      <c r="U611"/>
      <c r="V611"/>
      <c r="W611"/>
      <c r="X611"/>
    </row>
    <row r="612" spans="1:24" ht="33.75" x14ac:dyDescent="0.2">
      <c r="A612" s="18">
        <v>605</v>
      </c>
      <c r="B612" s="7" t="s">
        <v>4</v>
      </c>
      <c r="C612" s="5" t="s">
        <v>909</v>
      </c>
      <c r="D612" s="13">
        <v>142</v>
      </c>
      <c r="E612" s="7" t="s">
        <v>4</v>
      </c>
      <c r="F612" s="15" t="s">
        <v>40</v>
      </c>
      <c r="G612" s="20">
        <v>5</v>
      </c>
      <c r="H612" s="24">
        <f>5700/1.12</f>
        <v>5089.2857142857138</v>
      </c>
      <c r="I612" s="23">
        <f t="shared" si="10"/>
        <v>25446.428571428569</v>
      </c>
      <c r="J612" s="12" t="s">
        <v>43</v>
      </c>
      <c r="K612" s="12" t="s">
        <v>41</v>
      </c>
      <c r="L612" s="6"/>
      <c r="M612" s="6"/>
      <c r="N612" s="6"/>
      <c r="O612" s="6"/>
      <c r="P612" s="6"/>
      <c r="Q612" s="6"/>
      <c r="R612" s="6"/>
      <c r="S612" s="6"/>
      <c r="T612" s="6"/>
      <c r="U612"/>
      <c r="V612"/>
      <c r="W612"/>
      <c r="X612"/>
    </row>
    <row r="613" spans="1:24" ht="33.75" x14ac:dyDescent="0.2">
      <c r="A613" s="18">
        <v>606</v>
      </c>
      <c r="B613" s="7" t="s">
        <v>5</v>
      </c>
      <c r="C613" s="5" t="s">
        <v>909</v>
      </c>
      <c r="D613" s="13">
        <v>142</v>
      </c>
      <c r="E613" s="7" t="s">
        <v>5</v>
      </c>
      <c r="F613" s="15" t="s">
        <v>40</v>
      </c>
      <c r="G613" s="20">
        <v>3</v>
      </c>
      <c r="H613" s="24">
        <f>5500/1.12</f>
        <v>4910.7142857142853</v>
      </c>
      <c r="I613" s="23">
        <f t="shared" si="10"/>
        <v>14732.142857142855</v>
      </c>
      <c r="J613" s="12" t="s">
        <v>43</v>
      </c>
      <c r="K613" s="12" t="s">
        <v>41</v>
      </c>
      <c r="L613" s="6"/>
      <c r="M613" s="6"/>
      <c r="N613" s="6"/>
      <c r="O613" s="6"/>
      <c r="P613" s="6"/>
      <c r="Q613" s="6"/>
      <c r="R613" s="6"/>
      <c r="S613" s="6"/>
      <c r="T613" s="6"/>
      <c r="U613"/>
      <c r="V613"/>
      <c r="W613"/>
      <c r="X613"/>
    </row>
    <row r="614" spans="1:24" ht="33.75" x14ac:dyDescent="0.2">
      <c r="A614" s="18">
        <v>607</v>
      </c>
      <c r="B614" s="7" t="s">
        <v>132</v>
      </c>
      <c r="C614" s="5" t="s">
        <v>909</v>
      </c>
      <c r="D614" s="13">
        <v>142</v>
      </c>
      <c r="E614" s="7" t="s">
        <v>132</v>
      </c>
      <c r="F614" s="15" t="s">
        <v>40</v>
      </c>
      <c r="G614" s="20">
        <v>0.5</v>
      </c>
      <c r="H614" s="24">
        <f>5000/1.12</f>
        <v>4464.2857142857138</v>
      </c>
      <c r="I614" s="23">
        <f t="shared" si="10"/>
        <v>2232.1428571428569</v>
      </c>
      <c r="J614" s="12" t="s">
        <v>43</v>
      </c>
      <c r="K614" s="12" t="s">
        <v>41</v>
      </c>
      <c r="L614" s="6"/>
      <c r="M614" s="6"/>
      <c r="N614" s="6"/>
      <c r="O614" s="6"/>
      <c r="P614" s="6"/>
      <c r="Q614" s="6"/>
      <c r="R614" s="6"/>
      <c r="S614" s="6"/>
      <c r="T614" s="6"/>
      <c r="U614"/>
      <c r="V614"/>
      <c r="W614"/>
      <c r="X614"/>
    </row>
    <row r="615" spans="1:24" ht="33.75" x14ac:dyDescent="0.2">
      <c r="A615" s="18">
        <v>608</v>
      </c>
      <c r="B615" s="7" t="s">
        <v>6</v>
      </c>
      <c r="C615" s="5" t="s">
        <v>909</v>
      </c>
      <c r="D615" s="13">
        <v>142</v>
      </c>
      <c r="E615" s="7" t="s">
        <v>6</v>
      </c>
      <c r="F615" s="15" t="s">
        <v>40</v>
      </c>
      <c r="G615" s="20">
        <v>0.5</v>
      </c>
      <c r="H615" s="24">
        <f>5600/1.12</f>
        <v>4999.9999999999991</v>
      </c>
      <c r="I615" s="23">
        <f t="shared" si="10"/>
        <v>2499.9999999999995</v>
      </c>
      <c r="J615" s="12" t="s">
        <v>43</v>
      </c>
      <c r="K615" s="12" t="s">
        <v>41</v>
      </c>
      <c r="L615" s="6"/>
      <c r="M615" s="6"/>
      <c r="N615" s="6"/>
      <c r="O615" s="6"/>
      <c r="P615" s="6"/>
      <c r="Q615" s="6"/>
      <c r="R615" s="6"/>
      <c r="S615" s="6"/>
      <c r="T615" s="6"/>
      <c r="U615"/>
      <c r="V615"/>
      <c r="W615"/>
      <c r="X615"/>
    </row>
    <row r="616" spans="1:24" ht="33.75" x14ac:dyDescent="0.2">
      <c r="A616" s="18">
        <v>609</v>
      </c>
      <c r="B616" s="7" t="s">
        <v>603</v>
      </c>
      <c r="C616" s="5" t="s">
        <v>909</v>
      </c>
      <c r="D616" s="13">
        <v>142</v>
      </c>
      <c r="E616" s="7" t="s">
        <v>603</v>
      </c>
      <c r="F616" s="15" t="s">
        <v>40</v>
      </c>
      <c r="G616" s="20">
        <v>0.5</v>
      </c>
      <c r="H616" s="24">
        <f>5400/1.12</f>
        <v>4821.4285714285706</v>
      </c>
      <c r="I616" s="23">
        <f t="shared" si="10"/>
        <v>2410.7142857142853</v>
      </c>
      <c r="J616" s="12" t="s">
        <v>43</v>
      </c>
      <c r="K616" s="12" t="s">
        <v>41</v>
      </c>
      <c r="L616" s="6"/>
      <c r="M616" s="6"/>
      <c r="N616" s="6"/>
      <c r="O616" s="6"/>
      <c r="P616" s="6"/>
      <c r="Q616" s="6"/>
      <c r="R616" s="6"/>
      <c r="S616" s="6"/>
      <c r="T616" s="6"/>
      <c r="U616"/>
      <c r="V616"/>
      <c r="W616"/>
      <c r="X616"/>
    </row>
    <row r="617" spans="1:24" ht="33.75" x14ac:dyDescent="0.2">
      <c r="A617" s="18">
        <v>610</v>
      </c>
      <c r="B617" s="21" t="s">
        <v>604</v>
      </c>
      <c r="C617" s="5" t="s">
        <v>909</v>
      </c>
      <c r="D617" s="13">
        <v>142</v>
      </c>
      <c r="E617" s="21" t="s">
        <v>604</v>
      </c>
      <c r="F617" s="15" t="s">
        <v>40</v>
      </c>
      <c r="G617" s="20">
        <v>1</v>
      </c>
      <c r="H617" s="24">
        <f>5500/1.12</f>
        <v>4910.7142857142853</v>
      </c>
      <c r="I617" s="23">
        <f t="shared" si="10"/>
        <v>4910.7142857142853</v>
      </c>
      <c r="J617" s="12" t="s">
        <v>43</v>
      </c>
      <c r="K617" s="12" t="s">
        <v>41</v>
      </c>
      <c r="L617" s="6"/>
      <c r="M617" s="6"/>
      <c r="N617" s="6"/>
      <c r="O617" s="6"/>
      <c r="P617" s="6"/>
      <c r="Q617" s="6"/>
      <c r="R617" s="6"/>
      <c r="S617" s="6"/>
      <c r="T617" s="6"/>
      <c r="U617"/>
      <c r="V617"/>
      <c r="W617"/>
      <c r="X617"/>
    </row>
    <row r="618" spans="1:24" ht="33.75" x14ac:dyDescent="0.2">
      <c r="A618" s="18">
        <v>611</v>
      </c>
      <c r="B618" s="21" t="s">
        <v>605</v>
      </c>
      <c r="C618" s="5" t="s">
        <v>909</v>
      </c>
      <c r="D618" s="13">
        <v>142</v>
      </c>
      <c r="E618" s="21" t="s">
        <v>605</v>
      </c>
      <c r="F618" s="15" t="s">
        <v>40</v>
      </c>
      <c r="G618" s="20">
        <v>5</v>
      </c>
      <c r="H618" s="24">
        <f>6000/1.12</f>
        <v>5357.1428571428569</v>
      </c>
      <c r="I618" s="23">
        <f t="shared" si="10"/>
        <v>26785.714285714283</v>
      </c>
      <c r="J618" s="12" t="s">
        <v>43</v>
      </c>
      <c r="K618" s="12" t="s">
        <v>41</v>
      </c>
      <c r="L618" s="6"/>
      <c r="M618" s="6"/>
      <c r="N618" s="6"/>
      <c r="O618" s="6"/>
      <c r="P618" s="6"/>
      <c r="Q618" s="6"/>
      <c r="R618" s="6"/>
      <c r="S618" s="6"/>
      <c r="T618" s="6"/>
      <c r="U618"/>
      <c r="V618"/>
      <c r="W618"/>
      <c r="X618"/>
    </row>
    <row r="619" spans="1:24" ht="33.75" x14ac:dyDescent="0.2">
      <c r="A619" s="18">
        <v>612</v>
      </c>
      <c r="B619" s="21" t="s">
        <v>606</v>
      </c>
      <c r="C619" s="5" t="s">
        <v>909</v>
      </c>
      <c r="D619" s="13">
        <v>142</v>
      </c>
      <c r="E619" s="21" t="s">
        <v>606</v>
      </c>
      <c r="F619" s="15" t="s">
        <v>700</v>
      </c>
      <c r="G619" s="20">
        <v>20</v>
      </c>
      <c r="H619" s="24">
        <f>245/1.12</f>
        <v>218.74999999999997</v>
      </c>
      <c r="I619" s="23">
        <f t="shared" si="10"/>
        <v>4374.9999999999991</v>
      </c>
      <c r="J619" s="12" t="s">
        <v>43</v>
      </c>
      <c r="K619" s="12" t="s">
        <v>41</v>
      </c>
      <c r="L619" s="6"/>
      <c r="M619" s="6"/>
      <c r="N619" s="6"/>
      <c r="O619" s="6"/>
      <c r="P619" s="6"/>
      <c r="Q619" s="6"/>
      <c r="R619" s="6"/>
      <c r="S619" s="6"/>
      <c r="T619" s="6"/>
      <c r="U619"/>
      <c r="V619"/>
      <c r="W619"/>
      <c r="X619"/>
    </row>
    <row r="620" spans="1:24" ht="33.75" x14ac:dyDescent="0.2">
      <c r="A620" s="18">
        <v>613</v>
      </c>
      <c r="B620" s="21" t="s">
        <v>607</v>
      </c>
      <c r="C620" s="5" t="s">
        <v>909</v>
      </c>
      <c r="D620" s="13">
        <v>142</v>
      </c>
      <c r="E620" s="21" t="s">
        <v>607</v>
      </c>
      <c r="F620" s="15" t="s">
        <v>701</v>
      </c>
      <c r="G620" s="20">
        <v>15</v>
      </c>
      <c r="H620" s="24">
        <f t="shared" ref="H620:H637" si="11">492/1.12</f>
        <v>439.28571428571422</v>
      </c>
      <c r="I620" s="23">
        <f t="shared" si="10"/>
        <v>6589.2857142857138</v>
      </c>
      <c r="J620" s="12" t="s">
        <v>43</v>
      </c>
      <c r="K620" s="12" t="s">
        <v>41</v>
      </c>
      <c r="L620" s="6"/>
      <c r="M620" s="6"/>
      <c r="N620" s="6"/>
      <c r="O620" s="6"/>
      <c r="P620" s="6"/>
      <c r="Q620" s="6"/>
      <c r="R620" s="6"/>
      <c r="S620" s="6"/>
      <c r="T620" s="6"/>
      <c r="U620"/>
      <c r="V620"/>
      <c r="W620"/>
      <c r="X620"/>
    </row>
    <row r="621" spans="1:24" ht="33.75" x14ac:dyDescent="0.2">
      <c r="A621" s="18">
        <v>614</v>
      </c>
      <c r="B621" s="21" t="s">
        <v>608</v>
      </c>
      <c r="C621" s="5" t="s">
        <v>909</v>
      </c>
      <c r="D621" s="13">
        <v>142</v>
      </c>
      <c r="E621" s="21" t="s">
        <v>608</v>
      </c>
      <c r="F621" s="15" t="s">
        <v>701</v>
      </c>
      <c r="G621" s="20">
        <v>15</v>
      </c>
      <c r="H621" s="24">
        <f t="shared" si="11"/>
        <v>439.28571428571422</v>
      </c>
      <c r="I621" s="23">
        <f t="shared" si="10"/>
        <v>6589.2857142857138</v>
      </c>
      <c r="J621" s="12" t="s">
        <v>43</v>
      </c>
      <c r="K621" s="12" t="s">
        <v>41</v>
      </c>
      <c r="L621" s="6"/>
      <c r="M621" s="6"/>
      <c r="N621" s="6"/>
      <c r="O621" s="6"/>
      <c r="P621" s="6"/>
      <c r="Q621" s="6"/>
      <c r="R621" s="6"/>
      <c r="S621" s="6"/>
      <c r="T621" s="6"/>
      <c r="U621"/>
      <c r="V621"/>
      <c r="W621"/>
      <c r="X621"/>
    </row>
    <row r="622" spans="1:24" ht="33.75" x14ac:dyDescent="0.2">
      <c r="A622" s="18">
        <v>615</v>
      </c>
      <c r="B622" s="21" t="s">
        <v>609</v>
      </c>
      <c r="C622" s="5" t="s">
        <v>909</v>
      </c>
      <c r="D622" s="13">
        <v>142</v>
      </c>
      <c r="E622" s="21" t="s">
        <v>609</v>
      </c>
      <c r="F622" s="15" t="s">
        <v>701</v>
      </c>
      <c r="G622" s="20">
        <v>15</v>
      </c>
      <c r="H622" s="24">
        <f t="shared" si="11"/>
        <v>439.28571428571422</v>
      </c>
      <c r="I622" s="23">
        <f t="shared" si="10"/>
        <v>6589.2857142857138</v>
      </c>
      <c r="J622" s="12" t="s">
        <v>43</v>
      </c>
      <c r="K622" s="12" t="s">
        <v>41</v>
      </c>
      <c r="L622" s="6"/>
      <c r="M622" s="6"/>
      <c r="N622" s="6"/>
      <c r="O622" s="6"/>
      <c r="P622" s="6"/>
      <c r="Q622" s="6"/>
      <c r="R622" s="6"/>
      <c r="S622" s="6"/>
      <c r="T622" s="6"/>
      <c r="U622"/>
      <c r="V622"/>
      <c r="W622"/>
      <c r="X622"/>
    </row>
    <row r="623" spans="1:24" ht="33.75" x14ac:dyDescent="0.2">
      <c r="A623" s="18">
        <v>616</v>
      </c>
      <c r="B623" s="21" t="s">
        <v>610</v>
      </c>
      <c r="C623" s="5" t="s">
        <v>909</v>
      </c>
      <c r="D623" s="13">
        <v>142</v>
      </c>
      <c r="E623" s="21" t="s">
        <v>610</v>
      </c>
      <c r="F623" s="15" t="s">
        <v>701</v>
      </c>
      <c r="G623" s="20">
        <v>15</v>
      </c>
      <c r="H623" s="24">
        <f t="shared" si="11"/>
        <v>439.28571428571422</v>
      </c>
      <c r="I623" s="23">
        <f t="shared" si="10"/>
        <v>6589.2857142857138</v>
      </c>
      <c r="J623" s="12" t="s">
        <v>43</v>
      </c>
      <c r="K623" s="12" t="s">
        <v>41</v>
      </c>
      <c r="L623" s="6"/>
      <c r="M623" s="6"/>
      <c r="N623" s="6"/>
      <c r="O623" s="6"/>
      <c r="P623" s="6"/>
      <c r="Q623" s="6"/>
      <c r="R623" s="6"/>
      <c r="S623" s="6"/>
      <c r="T623" s="6"/>
      <c r="U623"/>
      <c r="V623"/>
      <c r="W623"/>
      <c r="X623"/>
    </row>
    <row r="624" spans="1:24" ht="33.75" x14ac:dyDescent="0.2">
      <c r="A624" s="18">
        <v>617</v>
      </c>
      <c r="B624" s="21" t="s">
        <v>611</v>
      </c>
      <c r="C624" s="5" t="s">
        <v>909</v>
      </c>
      <c r="D624" s="13">
        <v>142</v>
      </c>
      <c r="E624" s="21" t="s">
        <v>611</v>
      </c>
      <c r="F624" s="15" t="s">
        <v>701</v>
      </c>
      <c r="G624" s="20">
        <v>15</v>
      </c>
      <c r="H624" s="24">
        <f t="shared" si="11"/>
        <v>439.28571428571422</v>
      </c>
      <c r="I624" s="23">
        <f t="shared" si="10"/>
        <v>6589.2857142857138</v>
      </c>
      <c r="J624" s="12" t="s">
        <v>43</v>
      </c>
      <c r="K624" s="12" t="s">
        <v>41</v>
      </c>
      <c r="L624" s="6"/>
      <c r="M624" s="6"/>
      <c r="N624" s="6"/>
      <c r="O624" s="6"/>
      <c r="P624" s="6"/>
      <c r="Q624" s="6"/>
      <c r="R624" s="6"/>
      <c r="S624" s="6"/>
      <c r="T624" s="6"/>
      <c r="U624"/>
      <c r="V624"/>
      <c r="W624"/>
      <c r="X624"/>
    </row>
    <row r="625" spans="1:24" ht="33.75" x14ac:dyDescent="0.2">
      <c r="A625" s="18">
        <v>618</v>
      </c>
      <c r="B625" s="21" t="s">
        <v>612</v>
      </c>
      <c r="C625" s="5" t="s">
        <v>909</v>
      </c>
      <c r="D625" s="13">
        <v>142</v>
      </c>
      <c r="E625" s="21" t="s">
        <v>612</v>
      </c>
      <c r="F625" s="15" t="s">
        <v>701</v>
      </c>
      <c r="G625" s="20">
        <v>15</v>
      </c>
      <c r="H625" s="24">
        <f t="shared" si="11"/>
        <v>439.28571428571422</v>
      </c>
      <c r="I625" s="23">
        <f t="shared" si="10"/>
        <v>6589.2857142857138</v>
      </c>
      <c r="J625" s="12" t="s">
        <v>43</v>
      </c>
      <c r="K625" s="12" t="s">
        <v>41</v>
      </c>
      <c r="L625" s="6"/>
      <c r="M625" s="6"/>
      <c r="N625" s="6"/>
      <c r="O625" s="6"/>
      <c r="P625" s="6"/>
      <c r="Q625" s="6"/>
      <c r="R625" s="6"/>
      <c r="S625" s="6"/>
      <c r="T625" s="6"/>
      <c r="U625"/>
      <c r="V625"/>
      <c r="W625"/>
      <c r="X625"/>
    </row>
    <row r="626" spans="1:24" ht="33.75" x14ac:dyDescent="0.2">
      <c r="A626" s="18">
        <v>619</v>
      </c>
      <c r="B626" s="21" t="s">
        <v>613</v>
      </c>
      <c r="C626" s="5" t="s">
        <v>909</v>
      </c>
      <c r="D626" s="13">
        <v>142</v>
      </c>
      <c r="E626" s="21" t="s">
        <v>613</v>
      </c>
      <c r="F626" s="15" t="s">
        <v>701</v>
      </c>
      <c r="G626" s="20">
        <v>15</v>
      </c>
      <c r="H626" s="24">
        <f t="shared" si="11"/>
        <v>439.28571428571422</v>
      </c>
      <c r="I626" s="23">
        <f t="shared" si="10"/>
        <v>6589.2857142857138</v>
      </c>
      <c r="J626" s="12" t="s">
        <v>43</v>
      </c>
      <c r="K626" s="12" t="s">
        <v>41</v>
      </c>
      <c r="L626" s="6"/>
      <c r="M626" s="6"/>
      <c r="N626" s="6"/>
      <c r="O626" s="6"/>
      <c r="P626" s="6"/>
      <c r="Q626" s="6"/>
      <c r="R626" s="6"/>
      <c r="S626" s="6"/>
      <c r="T626" s="6"/>
      <c r="U626"/>
      <c r="V626"/>
      <c r="W626"/>
      <c r="X626"/>
    </row>
    <row r="627" spans="1:24" ht="33.75" x14ac:dyDescent="0.2">
      <c r="A627" s="18">
        <v>620</v>
      </c>
      <c r="B627" s="21" t="s">
        <v>614</v>
      </c>
      <c r="C627" s="5" t="s">
        <v>909</v>
      </c>
      <c r="D627" s="13">
        <v>142</v>
      </c>
      <c r="E627" s="21" t="s">
        <v>614</v>
      </c>
      <c r="F627" s="15" t="s">
        <v>701</v>
      </c>
      <c r="G627" s="20">
        <v>15</v>
      </c>
      <c r="H627" s="24">
        <f t="shared" si="11"/>
        <v>439.28571428571422</v>
      </c>
      <c r="I627" s="23">
        <f t="shared" si="10"/>
        <v>6589.2857142857138</v>
      </c>
      <c r="J627" s="12" t="s">
        <v>43</v>
      </c>
      <c r="K627" s="12" t="s">
        <v>41</v>
      </c>
      <c r="L627" s="6"/>
      <c r="M627" s="6"/>
      <c r="N627" s="6"/>
      <c r="O627" s="6"/>
      <c r="P627" s="6"/>
      <c r="Q627" s="6"/>
      <c r="R627" s="6"/>
      <c r="S627" s="6"/>
      <c r="T627" s="6"/>
      <c r="U627"/>
      <c r="V627"/>
      <c r="W627"/>
      <c r="X627"/>
    </row>
    <row r="628" spans="1:24" ht="33.75" x14ac:dyDescent="0.2">
      <c r="A628" s="18">
        <v>621</v>
      </c>
      <c r="B628" s="21" t="s">
        <v>615</v>
      </c>
      <c r="C628" s="5" t="s">
        <v>909</v>
      </c>
      <c r="D628" s="13">
        <v>142</v>
      </c>
      <c r="E628" s="21" t="s">
        <v>615</v>
      </c>
      <c r="F628" s="15" t="s">
        <v>701</v>
      </c>
      <c r="G628" s="20">
        <v>15</v>
      </c>
      <c r="H628" s="24">
        <f t="shared" si="11"/>
        <v>439.28571428571422</v>
      </c>
      <c r="I628" s="23">
        <f t="shared" si="10"/>
        <v>6589.2857142857138</v>
      </c>
      <c r="J628" s="12" t="s">
        <v>43</v>
      </c>
      <c r="K628" s="12" t="s">
        <v>41</v>
      </c>
      <c r="L628" s="6"/>
      <c r="M628" s="6"/>
      <c r="N628" s="6"/>
      <c r="O628" s="6"/>
      <c r="P628" s="6"/>
      <c r="Q628" s="6"/>
      <c r="R628" s="6"/>
      <c r="S628" s="6"/>
      <c r="T628" s="6"/>
      <c r="U628"/>
      <c r="V628"/>
      <c r="W628"/>
      <c r="X628"/>
    </row>
    <row r="629" spans="1:24" ht="33.75" x14ac:dyDescent="0.2">
      <c r="A629" s="18">
        <v>622</v>
      </c>
      <c r="B629" s="21" t="s">
        <v>616</v>
      </c>
      <c r="C629" s="5" t="s">
        <v>909</v>
      </c>
      <c r="D629" s="13">
        <v>142</v>
      </c>
      <c r="E629" s="21" t="s">
        <v>616</v>
      </c>
      <c r="F629" s="15" t="s">
        <v>701</v>
      </c>
      <c r="G629" s="20">
        <v>15</v>
      </c>
      <c r="H629" s="24">
        <f t="shared" si="11"/>
        <v>439.28571428571422</v>
      </c>
      <c r="I629" s="23">
        <f t="shared" si="10"/>
        <v>6589.2857142857138</v>
      </c>
      <c r="J629" s="12" t="s">
        <v>43</v>
      </c>
      <c r="K629" s="12" t="s">
        <v>41</v>
      </c>
      <c r="L629" s="6"/>
      <c r="M629" s="6"/>
      <c r="N629" s="6"/>
      <c r="O629" s="6"/>
      <c r="P629" s="6"/>
      <c r="Q629" s="6"/>
      <c r="R629" s="6"/>
      <c r="S629" s="6"/>
      <c r="T629" s="6"/>
      <c r="U629"/>
      <c r="V629"/>
      <c r="W629"/>
      <c r="X629"/>
    </row>
    <row r="630" spans="1:24" ht="33.75" x14ac:dyDescent="0.2">
      <c r="A630" s="18">
        <v>623</v>
      </c>
      <c r="B630" s="21" t="s">
        <v>617</v>
      </c>
      <c r="C630" s="5" t="s">
        <v>909</v>
      </c>
      <c r="D630" s="13">
        <v>142</v>
      </c>
      <c r="E630" s="21" t="s">
        <v>617</v>
      </c>
      <c r="F630" s="15" t="s">
        <v>701</v>
      </c>
      <c r="G630" s="20">
        <v>15</v>
      </c>
      <c r="H630" s="24">
        <f t="shared" si="11"/>
        <v>439.28571428571422</v>
      </c>
      <c r="I630" s="23">
        <f t="shared" si="10"/>
        <v>6589.2857142857138</v>
      </c>
      <c r="J630" s="12" t="s">
        <v>43</v>
      </c>
      <c r="K630" s="12" t="s">
        <v>41</v>
      </c>
      <c r="L630" s="6"/>
      <c r="M630" s="6"/>
      <c r="N630" s="6"/>
      <c r="O630" s="6"/>
      <c r="P630" s="6"/>
      <c r="Q630" s="6"/>
      <c r="R630" s="6"/>
      <c r="S630" s="6"/>
      <c r="T630" s="6"/>
      <c r="U630"/>
      <c r="V630"/>
      <c r="W630"/>
      <c r="X630"/>
    </row>
    <row r="631" spans="1:24" ht="33.75" x14ac:dyDescent="0.2">
      <c r="A631" s="18">
        <v>624</v>
      </c>
      <c r="B631" s="21" t="s">
        <v>618</v>
      </c>
      <c r="C631" s="5" t="s">
        <v>909</v>
      </c>
      <c r="D631" s="13">
        <v>142</v>
      </c>
      <c r="E631" s="21" t="s">
        <v>618</v>
      </c>
      <c r="F631" s="15" t="s">
        <v>701</v>
      </c>
      <c r="G631" s="20">
        <v>15</v>
      </c>
      <c r="H631" s="24">
        <f t="shared" si="11"/>
        <v>439.28571428571422</v>
      </c>
      <c r="I631" s="23">
        <f t="shared" si="10"/>
        <v>6589.2857142857138</v>
      </c>
      <c r="J631" s="12" t="s">
        <v>43</v>
      </c>
      <c r="K631" s="12" t="s">
        <v>41</v>
      </c>
      <c r="L631" s="6"/>
      <c r="M631" s="6"/>
      <c r="N631" s="6"/>
      <c r="O631" s="6"/>
      <c r="P631" s="6"/>
      <c r="Q631" s="6"/>
      <c r="R631" s="6"/>
      <c r="S631" s="6"/>
      <c r="T631" s="6"/>
      <c r="U631"/>
      <c r="V631"/>
      <c r="W631"/>
      <c r="X631"/>
    </row>
    <row r="632" spans="1:24" ht="33.75" x14ac:dyDescent="0.2">
      <c r="A632" s="18">
        <v>625</v>
      </c>
      <c r="B632" s="21" t="s">
        <v>619</v>
      </c>
      <c r="C632" s="5" t="s">
        <v>909</v>
      </c>
      <c r="D632" s="13">
        <v>142</v>
      </c>
      <c r="E632" s="21" t="s">
        <v>619</v>
      </c>
      <c r="F632" s="15" t="s">
        <v>701</v>
      </c>
      <c r="G632" s="20">
        <v>15</v>
      </c>
      <c r="H632" s="24">
        <f t="shared" si="11"/>
        <v>439.28571428571422</v>
      </c>
      <c r="I632" s="23">
        <f t="shared" si="10"/>
        <v>6589.2857142857138</v>
      </c>
      <c r="J632" s="12" t="s">
        <v>43</v>
      </c>
      <c r="K632" s="12" t="s">
        <v>41</v>
      </c>
      <c r="L632" s="6"/>
      <c r="M632" s="6"/>
      <c r="N632" s="6"/>
      <c r="O632" s="6"/>
      <c r="P632" s="6"/>
      <c r="Q632" s="6"/>
      <c r="R632" s="6"/>
      <c r="S632" s="6"/>
      <c r="T632" s="6"/>
      <c r="U632"/>
      <c r="V632"/>
      <c r="W632"/>
      <c r="X632"/>
    </row>
    <row r="633" spans="1:24" ht="33.75" x14ac:dyDescent="0.2">
      <c r="A633" s="18">
        <v>626</v>
      </c>
      <c r="B633" s="21" t="s">
        <v>620</v>
      </c>
      <c r="C633" s="5" t="s">
        <v>909</v>
      </c>
      <c r="D633" s="13">
        <v>142</v>
      </c>
      <c r="E633" s="21" t="s">
        <v>620</v>
      </c>
      <c r="F633" s="15" t="s">
        <v>701</v>
      </c>
      <c r="G633" s="20">
        <v>15</v>
      </c>
      <c r="H633" s="24">
        <f t="shared" si="11"/>
        <v>439.28571428571422</v>
      </c>
      <c r="I633" s="23">
        <f t="shared" si="10"/>
        <v>6589.2857142857138</v>
      </c>
      <c r="J633" s="12" t="s">
        <v>43</v>
      </c>
      <c r="K633" s="12" t="s">
        <v>41</v>
      </c>
      <c r="L633" s="6"/>
      <c r="M633" s="6"/>
      <c r="N633" s="6"/>
      <c r="O633" s="6"/>
      <c r="P633" s="6"/>
      <c r="Q633" s="6"/>
      <c r="R633" s="6"/>
      <c r="S633" s="6"/>
      <c r="T633" s="6"/>
      <c r="U633"/>
      <c r="V633"/>
      <c r="W633"/>
      <c r="X633"/>
    </row>
    <row r="634" spans="1:24" ht="33.75" x14ac:dyDescent="0.2">
      <c r="A634" s="18">
        <v>627</v>
      </c>
      <c r="B634" s="21" t="s">
        <v>621</v>
      </c>
      <c r="C634" s="5" t="s">
        <v>909</v>
      </c>
      <c r="D634" s="13">
        <v>142</v>
      </c>
      <c r="E634" s="21" t="s">
        <v>621</v>
      </c>
      <c r="F634" s="15" t="s">
        <v>701</v>
      </c>
      <c r="G634" s="20">
        <v>15</v>
      </c>
      <c r="H634" s="24">
        <f t="shared" si="11"/>
        <v>439.28571428571422</v>
      </c>
      <c r="I634" s="23">
        <f t="shared" si="10"/>
        <v>6589.2857142857138</v>
      </c>
      <c r="J634" s="12" t="s">
        <v>43</v>
      </c>
      <c r="K634" s="12" t="s">
        <v>41</v>
      </c>
      <c r="L634" s="6"/>
      <c r="M634" s="6"/>
      <c r="N634" s="6"/>
      <c r="O634" s="6"/>
      <c r="P634" s="6"/>
      <c r="Q634" s="6"/>
      <c r="R634" s="6"/>
      <c r="S634" s="6"/>
      <c r="T634" s="6"/>
      <c r="U634"/>
      <c r="V634"/>
      <c r="W634"/>
      <c r="X634"/>
    </row>
    <row r="635" spans="1:24" ht="33.75" x14ac:dyDescent="0.2">
      <c r="A635" s="18">
        <v>628</v>
      </c>
      <c r="B635" s="21" t="s">
        <v>622</v>
      </c>
      <c r="C635" s="5" t="s">
        <v>909</v>
      </c>
      <c r="D635" s="13">
        <v>142</v>
      </c>
      <c r="E635" s="21" t="s">
        <v>622</v>
      </c>
      <c r="F635" s="15" t="s">
        <v>701</v>
      </c>
      <c r="G635" s="20">
        <v>15</v>
      </c>
      <c r="H635" s="24">
        <f t="shared" si="11"/>
        <v>439.28571428571422</v>
      </c>
      <c r="I635" s="23">
        <f t="shared" si="10"/>
        <v>6589.2857142857138</v>
      </c>
      <c r="J635" s="12" t="s">
        <v>43</v>
      </c>
      <c r="K635" s="12" t="s">
        <v>41</v>
      </c>
      <c r="L635" s="6"/>
      <c r="M635" s="6"/>
      <c r="N635" s="6"/>
      <c r="O635" s="6"/>
      <c r="P635" s="6"/>
      <c r="Q635" s="6"/>
      <c r="R635" s="6"/>
      <c r="S635" s="6"/>
      <c r="T635" s="6"/>
      <c r="U635"/>
      <c r="V635"/>
      <c r="W635"/>
      <c r="X635"/>
    </row>
    <row r="636" spans="1:24" ht="33.75" x14ac:dyDescent="0.2">
      <c r="A636" s="18">
        <v>629</v>
      </c>
      <c r="B636" s="21" t="s">
        <v>623</v>
      </c>
      <c r="C636" s="5" t="s">
        <v>909</v>
      </c>
      <c r="D636" s="13">
        <v>142</v>
      </c>
      <c r="E636" s="21" t="s">
        <v>623</v>
      </c>
      <c r="F636" s="15" t="s">
        <v>701</v>
      </c>
      <c r="G636" s="20">
        <v>15</v>
      </c>
      <c r="H636" s="24">
        <f t="shared" si="11"/>
        <v>439.28571428571422</v>
      </c>
      <c r="I636" s="23">
        <f t="shared" si="10"/>
        <v>6589.2857142857138</v>
      </c>
      <c r="J636" s="12" t="s">
        <v>43</v>
      </c>
      <c r="K636" s="12" t="s">
        <v>41</v>
      </c>
      <c r="L636" s="6"/>
      <c r="M636" s="6"/>
      <c r="N636" s="6"/>
      <c r="O636" s="6"/>
      <c r="P636" s="6"/>
      <c r="Q636" s="6"/>
      <c r="R636" s="6"/>
      <c r="S636" s="6"/>
      <c r="T636" s="6"/>
      <c r="U636"/>
      <c r="V636"/>
      <c r="W636"/>
      <c r="X636"/>
    </row>
    <row r="637" spans="1:24" ht="33.75" x14ac:dyDescent="0.2">
      <c r="A637" s="18">
        <v>630</v>
      </c>
      <c r="B637" s="21" t="s">
        <v>624</v>
      </c>
      <c r="C637" s="5" t="s">
        <v>909</v>
      </c>
      <c r="D637" s="13">
        <v>142</v>
      </c>
      <c r="E637" s="21" t="s">
        <v>624</v>
      </c>
      <c r="F637" s="15" t="s">
        <v>701</v>
      </c>
      <c r="G637" s="20">
        <v>15</v>
      </c>
      <c r="H637" s="24">
        <f t="shared" si="11"/>
        <v>439.28571428571422</v>
      </c>
      <c r="I637" s="23">
        <f t="shared" si="10"/>
        <v>6589.2857142857138</v>
      </c>
      <c r="J637" s="12" t="s">
        <v>43</v>
      </c>
      <c r="K637" s="12" t="s">
        <v>41</v>
      </c>
      <c r="L637" s="6"/>
      <c r="M637" s="6"/>
      <c r="N637" s="6"/>
      <c r="O637" s="6"/>
      <c r="P637" s="6"/>
      <c r="Q637" s="6"/>
      <c r="R637" s="6"/>
      <c r="S637" s="6"/>
      <c r="T637" s="6"/>
      <c r="U637"/>
      <c r="V637"/>
      <c r="W637"/>
      <c r="X637"/>
    </row>
    <row r="638" spans="1:24" ht="33.75" x14ac:dyDescent="0.2">
      <c r="A638" s="18">
        <v>631</v>
      </c>
      <c r="B638" s="21" t="s">
        <v>625</v>
      </c>
      <c r="C638" s="5" t="s">
        <v>909</v>
      </c>
      <c r="D638" s="13">
        <v>142</v>
      </c>
      <c r="E638" s="21" t="s">
        <v>625</v>
      </c>
      <c r="F638" s="15" t="s">
        <v>702</v>
      </c>
      <c r="G638" s="20">
        <v>15</v>
      </c>
      <c r="H638" s="24">
        <f>3000/1.12</f>
        <v>2678.5714285714284</v>
      </c>
      <c r="I638" s="23">
        <f t="shared" si="10"/>
        <v>40178.571428571428</v>
      </c>
      <c r="J638" s="12" t="s">
        <v>43</v>
      </c>
      <c r="K638" s="12" t="s">
        <v>41</v>
      </c>
      <c r="L638" s="6"/>
      <c r="M638" s="6"/>
      <c r="N638" s="6"/>
      <c r="O638" s="6"/>
      <c r="P638" s="6"/>
      <c r="Q638" s="6"/>
      <c r="R638" s="6"/>
      <c r="S638" s="6"/>
      <c r="T638" s="6"/>
      <c r="U638"/>
      <c r="V638"/>
      <c r="W638"/>
      <c r="X638"/>
    </row>
    <row r="639" spans="1:24" ht="33.75" x14ac:dyDescent="0.2">
      <c r="A639" s="18">
        <v>632</v>
      </c>
      <c r="B639" s="21" t="s">
        <v>626</v>
      </c>
      <c r="C639" s="5" t="s">
        <v>909</v>
      </c>
      <c r="D639" s="13">
        <v>142</v>
      </c>
      <c r="E639" s="21" t="s">
        <v>626</v>
      </c>
      <c r="F639" s="15" t="s">
        <v>42</v>
      </c>
      <c r="G639" s="20">
        <v>1000</v>
      </c>
      <c r="H639" s="24">
        <f>100/1.12</f>
        <v>89.285714285714278</v>
      </c>
      <c r="I639" s="23">
        <f t="shared" si="10"/>
        <v>89285.714285714275</v>
      </c>
      <c r="J639" s="12" t="s">
        <v>43</v>
      </c>
      <c r="K639" s="12" t="s">
        <v>41</v>
      </c>
      <c r="L639" s="6"/>
      <c r="M639" s="6"/>
      <c r="N639" s="6"/>
      <c r="O639" s="6"/>
      <c r="P639" s="6"/>
      <c r="Q639" s="6"/>
      <c r="R639" s="6"/>
      <c r="S639" s="6"/>
      <c r="T639" s="6"/>
      <c r="U639"/>
      <c r="V639"/>
      <c r="W639"/>
      <c r="X639"/>
    </row>
    <row r="640" spans="1:24" ht="33.75" x14ac:dyDescent="0.2">
      <c r="A640" s="18">
        <v>633</v>
      </c>
      <c r="B640" s="21" t="s">
        <v>627</v>
      </c>
      <c r="C640" s="5" t="s">
        <v>909</v>
      </c>
      <c r="D640" s="13">
        <v>142</v>
      </c>
      <c r="E640" s="21" t="s">
        <v>627</v>
      </c>
      <c r="F640" s="15" t="s">
        <v>42</v>
      </c>
      <c r="G640" s="20">
        <v>1000</v>
      </c>
      <c r="H640" s="24">
        <f>50/1.12</f>
        <v>44.642857142857139</v>
      </c>
      <c r="I640" s="23">
        <f t="shared" si="10"/>
        <v>44642.857142857138</v>
      </c>
      <c r="J640" s="12" t="s">
        <v>43</v>
      </c>
      <c r="K640" s="12" t="s">
        <v>41</v>
      </c>
      <c r="L640" s="6"/>
      <c r="M640" s="6"/>
      <c r="N640" s="6"/>
      <c r="O640" s="6"/>
      <c r="P640" s="6"/>
      <c r="Q640" s="6"/>
      <c r="R640" s="6"/>
      <c r="S640" s="6"/>
      <c r="T640" s="6"/>
      <c r="U640"/>
      <c r="V640"/>
      <c r="W640"/>
      <c r="X640"/>
    </row>
    <row r="641" spans="1:24" ht="33.75" x14ac:dyDescent="0.2">
      <c r="A641" s="18">
        <v>634</v>
      </c>
      <c r="B641" s="21" t="s">
        <v>628</v>
      </c>
      <c r="C641" s="5" t="s">
        <v>909</v>
      </c>
      <c r="D641" s="13">
        <v>142</v>
      </c>
      <c r="E641" s="21" t="s">
        <v>628</v>
      </c>
      <c r="F641" s="15" t="s">
        <v>42</v>
      </c>
      <c r="G641" s="20">
        <v>10</v>
      </c>
      <c r="H641" s="24">
        <f>1000/1.12</f>
        <v>892.85714285714278</v>
      </c>
      <c r="I641" s="23">
        <f t="shared" si="10"/>
        <v>8928.5714285714275</v>
      </c>
      <c r="J641" s="12" t="s">
        <v>43</v>
      </c>
      <c r="K641" s="12" t="s">
        <v>41</v>
      </c>
      <c r="L641" s="6"/>
      <c r="M641" s="6"/>
      <c r="N641" s="6"/>
      <c r="O641" s="6"/>
      <c r="P641" s="6"/>
      <c r="Q641" s="6"/>
      <c r="R641" s="6"/>
      <c r="S641" s="6"/>
      <c r="T641" s="6"/>
      <c r="U641"/>
      <c r="V641"/>
      <c r="W641"/>
      <c r="X641"/>
    </row>
    <row r="642" spans="1:24" ht="33.75" x14ac:dyDescent="0.2">
      <c r="A642" s="18">
        <v>635</v>
      </c>
      <c r="B642" s="21" t="s">
        <v>629</v>
      </c>
      <c r="C642" s="5" t="s">
        <v>909</v>
      </c>
      <c r="D642" s="13">
        <v>142</v>
      </c>
      <c r="E642" s="21" t="s">
        <v>629</v>
      </c>
      <c r="F642" s="15" t="s">
        <v>42</v>
      </c>
      <c r="G642" s="20">
        <v>8</v>
      </c>
      <c r="H642" s="24">
        <v>12702.67</v>
      </c>
      <c r="I642" s="23">
        <f t="shared" si="10"/>
        <v>101621.36</v>
      </c>
      <c r="J642" s="12" t="s">
        <v>43</v>
      </c>
      <c r="K642" s="12" t="s">
        <v>41</v>
      </c>
      <c r="L642" s="6"/>
      <c r="M642" s="6"/>
      <c r="N642" s="6"/>
      <c r="O642" s="6"/>
      <c r="P642" s="6"/>
      <c r="Q642" s="6"/>
      <c r="R642" s="6"/>
      <c r="S642" s="6"/>
      <c r="T642" s="6"/>
      <c r="U642"/>
      <c r="V642"/>
      <c r="W642"/>
      <c r="X642"/>
    </row>
    <row r="643" spans="1:24" ht="33.75" x14ac:dyDescent="0.2">
      <c r="A643" s="18">
        <v>636</v>
      </c>
      <c r="B643" s="21" t="s">
        <v>630</v>
      </c>
      <c r="C643" s="5" t="s">
        <v>909</v>
      </c>
      <c r="D643" s="13">
        <v>142</v>
      </c>
      <c r="E643" s="21" t="s">
        <v>630</v>
      </c>
      <c r="F643" s="15" t="s">
        <v>42</v>
      </c>
      <c r="G643" s="20">
        <v>8</v>
      </c>
      <c r="H643" s="24">
        <v>12702.7</v>
      </c>
      <c r="I643" s="23">
        <f t="shared" si="10"/>
        <v>101621.6</v>
      </c>
      <c r="J643" s="12" t="s">
        <v>43</v>
      </c>
      <c r="K643" s="12" t="s">
        <v>41</v>
      </c>
      <c r="L643" s="6"/>
      <c r="M643" s="6"/>
      <c r="N643" s="6"/>
      <c r="O643" s="6"/>
      <c r="P643" s="6"/>
      <c r="Q643" s="6"/>
      <c r="R643" s="6"/>
      <c r="S643" s="6"/>
      <c r="T643" s="6"/>
      <c r="U643"/>
      <c r="V643"/>
      <c r="W643"/>
      <c r="X643"/>
    </row>
    <row r="644" spans="1:24" ht="45" x14ac:dyDescent="0.2">
      <c r="A644" s="18">
        <v>637</v>
      </c>
      <c r="B644" s="21" t="s">
        <v>631</v>
      </c>
      <c r="C644" s="5" t="s">
        <v>909</v>
      </c>
      <c r="D644" s="13">
        <v>142</v>
      </c>
      <c r="E644" s="21" t="s">
        <v>930</v>
      </c>
      <c r="F644" s="15" t="s">
        <v>42</v>
      </c>
      <c r="G644" s="20">
        <v>8</v>
      </c>
      <c r="H644" s="24">
        <v>22111.599999999999</v>
      </c>
      <c r="I644" s="23">
        <f t="shared" si="10"/>
        <v>176892.79999999999</v>
      </c>
      <c r="J644" s="12" t="s">
        <v>43</v>
      </c>
      <c r="K644" s="12" t="s">
        <v>41</v>
      </c>
      <c r="L644" s="6"/>
      <c r="M644" s="6"/>
      <c r="N644" s="6"/>
      <c r="O644" s="6"/>
      <c r="P644" s="6"/>
      <c r="Q644" s="6"/>
      <c r="R644" s="6"/>
      <c r="S644" s="6"/>
      <c r="T644" s="6"/>
      <c r="U644"/>
      <c r="V644"/>
      <c r="W644"/>
      <c r="X644"/>
    </row>
    <row r="645" spans="1:24" ht="45" x14ac:dyDescent="0.2">
      <c r="A645" s="18">
        <v>638</v>
      </c>
      <c r="B645" s="21" t="s">
        <v>632</v>
      </c>
      <c r="C645" s="5" t="s">
        <v>909</v>
      </c>
      <c r="D645" s="13">
        <v>142</v>
      </c>
      <c r="E645" s="21" t="s">
        <v>632</v>
      </c>
      <c r="F645" s="15" t="s">
        <v>42</v>
      </c>
      <c r="G645" s="20">
        <v>8</v>
      </c>
      <c r="H645" s="24">
        <v>17688.39</v>
      </c>
      <c r="I645" s="23">
        <f t="shared" si="10"/>
        <v>141507.12</v>
      </c>
      <c r="J645" s="12" t="s">
        <v>43</v>
      </c>
      <c r="K645" s="12" t="s">
        <v>41</v>
      </c>
      <c r="L645" s="6"/>
      <c r="M645" s="6"/>
      <c r="N645" s="6"/>
      <c r="O645" s="6"/>
      <c r="P645" s="6"/>
      <c r="Q645" s="6"/>
      <c r="R645" s="6"/>
      <c r="S645" s="6"/>
      <c r="T645" s="6"/>
      <c r="U645"/>
      <c r="V645"/>
      <c r="W645"/>
      <c r="X645"/>
    </row>
    <row r="646" spans="1:24" ht="33.75" x14ac:dyDescent="0.2">
      <c r="A646" s="18">
        <v>639</v>
      </c>
      <c r="B646" s="21" t="s">
        <v>633</v>
      </c>
      <c r="C646" s="5" t="s">
        <v>909</v>
      </c>
      <c r="D646" s="13">
        <v>142</v>
      </c>
      <c r="E646" s="21" t="s">
        <v>633</v>
      </c>
      <c r="F646" s="15" t="s">
        <v>42</v>
      </c>
      <c r="G646" s="20">
        <v>8</v>
      </c>
      <c r="H646" s="24">
        <v>13991.07</v>
      </c>
      <c r="I646" s="23">
        <f t="shared" si="10"/>
        <v>111928.56</v>
      </c>
      <c r="J646" s="12" t="s">
        <v>43</v>
      </c>
      <c r="K646" s="12" t="s">
        <v>41</v>
      </c>
      <c r="L646" s="6"/>
      <c r="M646" s="6"/>
      <c r="N646" s="6"/>
      <c r="O646" s="6"/>
      <c r="P646" s="6"/>
      <c r="Q646" s="6"/>
      <c r="R646" s="6"/>
      <c r="S646" s="6"/>
      <c r="T646" s="6"/>
      <c r="U646"/>
      <c r="V646"/>
      <c r="W646"/>
      <c r="X646"/>
    </row>
    <row r="647" spans="1:24" ht="33.75" x14ac:dyDescent="0.2">
      <c r="A647" s="18">
        <v>640</v>
      </c>
      <c r="B647" s="21" t="s">
        <v>634</v>
      </c>
      <c r="C647" s="5" t="s">
        <v>909</v>
      </c>
      <c r="D647" s="13">
        <v>142</v>
      </c>
      <c r="E647" s="21" t="s">
        <v>634</v>
      </c>
      <c r="F647" s="15" t="s">
        <v>42</v>
      </c>
      <c r="G647" s="20">
        <v>8</v>
      </c>
      <c r="H647" s="24">
        <v>17769.64</v>
      </c>
      <c r="I647" s="23">
        <f t="shared" si="10"/>
        <v>142157.12</v>
      </c>
      <c r="J647" s="12" t="s">
        <v>43</v>
      </c>
      <c r="K647" s="12" t="s">
        <v>41</v>
      </c>
      <c r="L647" s="6"/>
      <c r="M647" s="6"/>
      <c r="N647" s="6"/>
      <c r="O647" s="6"/>
      <c r="P647" s="6"/>
      <c r="Q647" s="6"/>
      <c r="R647" s="6"/>
      <c r="S647" s="6"/>
      <c r="T647" s="6"/>
      <c r="U647"/>
      <c r="V647"/>
      <c r="W647"/>
      <c r="X647"/>
    </row>
    <row r="648" spans="1:24" ht="33.75" x14ac:dyDescent="0.2">
      <c r="A648" s="18">
        <v>641</v>
      </c>
      <c r="B648" s="21" t="s">
        <v>635</v>
      </c>
      <c r="C648" s="5" t="s">
        <v>909</v>
      </c>
      <c r="D648" s="13">
        <v>142</v>
      </c>
      <c r="E648" s="21" t="s">
        <v>635</v>
      </c>
      <c r="F648" s="15" t="s">
        <v>42</v>
      </c>
      <c r="G648" s="20">
        <v>8</v>
      </c>
      <c r="H648" s="24">
        <v>21629.46</v>
      </c>
      <c r="I648" s="23">
        <f t="shared" si="10"/>
        <v>173035.68</v>
      </c>
      <c r="J648" s="12" t="s">
        <v>43</v>
      </c>
      <c r="K648" s="12" t="s">
        <v>41</v>
      </c>
      <c r="L648" s="6"/>
      <c r="M648" s="6"/>
      <c r="N648" s="6"/>
      <c r="O648" s="6"/>
      <c r="P648" s="6"/>
      <c r="Q648" s="6"/>
      <c r="R648" s="6"/>
      <c r="S648" s="6"/>
      <c r="T648" s="6"/>
      <c r="U648"/>
      <c r="V648"/>
      <c r="W648"/>
      <c r="X648"/>
    </row>
    <row r="649" spans="1:24" ht="33.75" x14ac:dyDescent="0.2">
      <c r="A649" s="18">
        <v>642</v>
      </c>
      <c r="B649" s="21" t="s">
        <v>636</v>
      </c>
      <c r="C649" s="5" t="s">
        <v>909</v>
      </c>
      <c r="D649" s="13">
        <v>142</v>
      </c>
      <c r="E649" s="21" t="s">
        <v>636</v>
      </c>
      <c r="F649" s="15" t="s">
        <v>50</v>
      </c>
      <c r="G649" s="20">
        <v>2</v>
      </c>
      <c r="H649" s="24">
        <v>39811.599999999999</v>
      </c>
      <c r="I649" s="23">
        <f t="shared" si="10"/>
        <v>79623.199999999997</v>
      </c>
      <c r="J649" s="12" t="s">
        <v>43</v>
      </c>
      <c r="K649" s="12" t="s">
        <v>41</v>
      </c>
      <c r="L649" s="6"/>
      <c r="M649" s="6"/>
      <c r="N649" s="6"/>
      <c r="O649" s="6"/>
      <c r="P649" s="6"/>
      <c r="Q649" s="6"/>
      <c r="R649" s="6"/>
      <c r="S649" s="6"/>
      <c r="T649" s="6"/>
      <c r="U649"/>
      <c r="V649"/>
      <c r="W649"/>
      <c r="X649"/>
    </row>
    <row r="650" spans="1:24" ht="33.75" x14ac:dyDescent="0.2">
      <c r="A650" s="18">
        <v>643</v>
      </c>
      <c r="B650" s="21" t="s">
        <v>637</v>
      </c>
      <c r="C650" s="5" t="s">
        <v>909</v>
      </c>
      <c r="D650" s="13">
        <v>142</v>
      </c>
      <c r="E650" s="21" t="s">
        <v>637</v>
      </c>
      <c r="F650" s="15" t="s">
        <v>50</v>
      </c>
      <c r="G650" s="20">
        <v>2</v>
      </c>
      <c r="H650" s="24">
        <v>39811.599999999999</v>
      </c>
      <c r="I650" s="23">
        <f t="shared" si="10"/>
        <v>79623.199999999997</v>
      </c>
      <c r="J650" s="12" t="s">
        <v>43</v>
      </c>
      <c r="K650" s="12" t="s">
        <v>41</v>
      </c>
      <c r="L650" s="6"/>
      <c r="M650" s="6"/>
      <c r="N650" s="6"/>
      <c r="O650" s="6"/>
      <c r="P650" s="6"/>
      <c r="Q650" s="6"/>
      <c r="R650" s="6"/>
      <c r="S650" s="6"/>
      <c r="T650" s="6"/>
      <c r="U650"/>
      <c r="V650"/>
      <c r="W650"/>
      <c r="X650"/>
    </row>
    <row r="651" spans="1:24" ht="33.75" x14ac:dyDescent="0.2">
      <c r="A651" s="18">
        <v>644</v>
      </c>
      <c r="B651" s="21" t="s">
        <v>638</v>
      </c>
      <c r="C651" s="5" t="s">
        <v>909</v>
      </c>
      <c r="D651" s="13">
        <v>142</v>
      </c>
      <c r="E651" s="21" t="s">
        <v>638</v>
      </c>
      <c r="F651" s="15" t="s">
        <v>50</v>
      </c>
      <c r="G651" s="20">
        <v>3</v>
      </c>
      <c r="H651" s="24">
        <v>25154.46</v>
      </c>
      <c r="I651" s="23">
        <f t="shared" si="10"/>
        <v>75463.38</v>
      </c>
      <c r="J651" s="12" t="s">
        <v>43</v>
      </c>
      <c r="K651" s="12" t="s">
        <v>41</v>
      </c>
      <c r="L651" s="6"/>
      <c r="M651" s="6"/>
      <c r="N651" s="6"/>
      <c r="O651" s="6"/>
      <c r="P651" s="6"/>
      <c r="Q651" s="6"/>
      <c r="R651" s="6"/>
      <c r="S651" s="6"/>
      <c r="T651" s="6"/>
      <c r="U651"/>
      <c r="V651"/>
      <c r="W651"/>
      <c r="X651"/>
    </row>
    <row r="652" spans="1:24" ht="33.75" x14ac:dyDescent="0.2">
      <c r="A652" s="18">
        <v>645</v>
      </c>
      <c r="B652" s="21" t="s">
        <v>639</v>
      </c>
      <c r="C652" s="5" t="s">
        <v>909</v>
      </c>
      <c r="D652" s="13">
        <v>142</v>
      </c>
      <c r="E652" s="21" t="s">
        <v>639</v>
      </c>
      <c r="F652" s="15" t="s">
        <v>42</v>
      </c>
      <c r="G652" s="20">
        <v>2</v>
      </c>
      <c r="H652" s="24">
        <v>14315.17</v>
      </c>
      <c r="I652" s="23">
        <f t="shared" si="10"/>
        <v>28630.34</v>
      </c>
      <c r="J652" s="12" t="s">
        <v>43</v>
      </c>
      <c r="K652" s="12" t="s">
        <v>41</v>
      </c>
      <c r="L652" s="6"/>
      <c r="M652" s="6"/>
      <c r="N652" s="6"/>
      <c r="O652" s="6"/>
      <c r="P652" s="6"/>
      <c r="Q652" s="6"/>
      <c r="R652" s="6"/>
      <c r="S652" s="6"/>
      <c r="T652" s="6"/>
      <c r="U652"/>
      <c r="V652"/>
      <c r="W652"/>
      <c r="X652"/>
    </row>
    <row r="653" spans="1:24" ht="33.75" x14ac:dyDescent="0.2">
      <c r="A653" s="18">
        <v>646</v>
      </c>
      <c r="B653" s="21" t="s">
        <v>640</v>
      </c>
      <c r="C653" s="5" t="s">
        <v>909</v>
      </c>
      <c r="D653" s="13">
        <v>142</v>
      </c>
      <c r="E653" s="21" t="s">
        <v>640</v>
      </c>
      <c r="F653" s="15" t="s">
        <v>50</v>
      </c>
      <c r="G653" s="20">
        <v>3</v>
      </c>
      <c r="H653" s="24">
        <v>14633.03</v>
      </c>
      <c r="I653" s="23">
        <f t="shared" si="10"/>
        <v>43899.090000000004</v>
      </c>
      <c r="J653" s="12" t="s">
        <v>43</v>
      </c>
      <c r="K653" s="12" t="s">
        <v>41</v>
      </c>
      <c r="L653" s="6"/>
      <c r="M653" s="6"/>
      <c r="N653" s="6"/>
      <c r="O653" s="6"/>
      <c r="P653" s="6"/>
      <c r="Q653" s="6"/>
      <c r="R653" s="6"/>
      <c r="S653" s="6"/>
      <c r="T653" s="6"/>
      <c r="U653"/>
      <c r="V653"/>
      <c r="W653"/>
      <c r="X653"/>
    </row>
    <row r="654" spans="1:24" ht="33.75" x14ac:dyDescent="0.2">
      <c r="A654" s="18">
        <v>647</v>
      </c>
      <c r="B654" s="21" t="s">
        <v>641</v>
      </c>
      <c r="C654" s="5" t="s">
        <v>909</v>
      </c>
      <c r="D654" s="13">
        <v>142</v>
      </c>
      <c r="E654" s="21" t="s">
        <v>641</v>
      </c>
      <c r="F654" s="15" t="s">
        <v>50</v>
      </c>
      <c r="G654" s="20">
        <v>15</v>
      </c>
      <c r="H654" s="24">
        <v>61328.57</v>
      </c>
      <c r="I654" s="23">
        <f t="shared" si="10"/>
        <v>919928.55</v>
      </c>
      <c r="J654" s="12" t="s">
        <v>43</v>
      </c>
      <c r="K654" s="12" t="s">
        <v>41</v>
      </c>
      <c r="L654" s="6"/>
      <c r="M654" s="6"/>
      <c r="N654" s="6"/>
      <c r="O654" s="6"/>
      <c r="P654" s="6"/>
      <c r="Q654" s="6"/>
      <c r="R654" s="6"/>
      <c r="S654" s="6"/>
      <c r="T654" s="6"/>
      <c r="U654"/>
      <c r="V654"/>
      <c r="W654"/>
      <c r="X654"/>
    </row>
    <row r="655" spans="1:24" ht="33.75" x14ac:dyDescent="0.2">
      <c r="A655" s="18">
        <v>648</v>
      </c>
      <c r="B655" s="21" t="s">
        <v>642</v>
      </c>
      <c r="C655" s="5" t="s">
        <v>909</v>
      </c>
      <c r="D655" s="13">
        <v>142</v>
      </c>
      <c r="E655" s="21" t="s">
        <v>642</v>
      </c>
      <c r="F655" s="15" t="s">
        <v>50</v>
      </c>
      <c r="G655" s="20">
        <v>3</v>
      </c>
      <c r="H655" s="24">
        <v>15195.53</v>
      </c>
      <c r="I655" s="23">
        <f t="shared" ref="I655:I721" si="12">G655*H655</f>
        <v>45586.590000000004</v>
      </c>
      <c r="J655" s="12" t="s">
        <v>43</v>
      </c>
      <c r="K655" s="12" t="s">
        <v>41</v>
      </c>
      <c r="L655" s="6"/>
      <c r="M655" s="6"/>
      <c r="N655" s="6"/>
      <c r="O655" s="6"/>
      <c r="P655" s="6"/>
      <c r="Q655" s="6"/>
      <c r="R655" s="6"/>
      <c r="S655" s="6"/>
      <c r="T655" s="6"/>
      <c r="U655"/>
      <c r="V655"/>
      <c r="W655"/>
      <c r="X655"/>
    </row>
    <row r="656" spans="1:24" ht="33.75" x14ac:dyDescent="0.2">
      <c r="A656" s="18">
        <v>649</v>
      </c>
      <c r="B656" s="21" t="s">
        <v>643</v>
      </c>
      <c r="C656" s="5" t="s">
        <v>909</v>
      </c>
      <c r="D656" s="13">
        <v>142</v>
      </c>
      <c r="E656" s="21" t="s">
        <v>643</v>
      </c>
      <c r="F656" s="15" t="s">
        <v>50</v>
      </c>
      <c r="G656" s="20">
        <v>3</v>
      </c>
      <c r="H656" s="24">
        <v>4996.3999999999996</v>
      </c>
      <c r="I656" s="23">
        <f t="shared" si="12"/>
        <v>14989.199999999999</v>
      </c>
      <c r="J656" s="12" t="s">
        <v>43</v>
      </c>
      <c r="K656" s="12" t="s">
        <v>41</v>
      </c>
      <c r="L656" s="6"/>
      <c r="M656" s="6"/>
      <c r="N656" s="6"/>
      <c r="O656" s="6"/>
      <c r="P656" s="6"/>
      <c r="Q656" s="6"/>
      <c r="R656" s="6"/>
      <c r="S656" s="6"/>
      <c r="T656" s="6"/>
      <c r="U656"/>
      <c r="V656"/>
      <c r="W656"/>
      <c r="X656"/>
    </row>
    <row r="657" spans="1:24" ht="33.75" x14ac:dyDescent="0.2">
      <c r="A657" s="18">
        <v>650</v>
      </c>
      <c r="B657" s="21" t="s">
        <v>644</v>
      </c>
      <c r="C657" s="5" t="s">
        <v>909</v>
      </c>
      <c r="D657" s="13">
        <v>142</v>
      </c>
      <c r="E657" s="21" t="s">
        <v>644</v>
      </c>
      <c r="F657" s="15" t="s">
        <v>50</v>
      </c>
      <c r="G657" s="20">
        <v>2</v>
      </c>
      <c r="H657" s="24">
        <v>34675</v>
      </c>
      <c r="I657" s="23">
        <f t="shared" si="12"/>
        <v>69350</v>
      </c>
      <c r="J657" s="12" t="s">
        <v>43</v>
      </c>
      <c r="K657" s="12" t="s">
        <v>41</v>
      </c>
      <c r="L657" s="6"/>
      <c r="M657" s="6"/>
      <c r="N657" s="6"/>
      <c r="O657" s="6"/>
      <c r="P657" s="6"/>
      <c r="Q657" s="6"/>
      <c r="R657" s="6"/>
      <c r="S657" s="6"/>
      <c r="T657" s="6"/>
      <c r="U657"/>
      <c r="V657"/>
      <c r="W657"/>
      <c r="X657"/>
    </row>
    <row r="658" spans="1:24" ht="33.75" x14ac:dyDescent="0.2">
      <c r="A658" s="18">
        <v>651</v>
      </c>
      <c r="B658" s="21" t="s">
        <v>645</v>
      </c>
      <c r="C658" s="5" t="s">
        <v>909</v>
      </c>
      <c r="D658" s="13">
        <v>142</v>
      </c>
      <c r="E658" s="21" t="s">
        <v>645</v>
      </c>
      <c r="F658" s="15" t="s">
        <v>42</v>
      </c>
      <c r="G658" s="20">
        <v>1</v>
      </c>
      <c r="H658" s="24">
        <v>130479.46</v>
      </c>
      <c r="I658" s="23">
        <f t="shared" si="12"/>
        <v>130479.46</v>
      </c>
      <c r="J658" s="12" t="s">
        <v>43</v>
      </c>
      <c r="K658" s="12" t="s">
        <v>41</v>
      </c>
      <c r="L658" s="6"/>
      <c r="M658" s="6"/>
      <c r="N658" s="6"/>
      <c r="O658" s="6"/>
      <c r="P658" s="6"/>
      <c r="Q658" s="6"/>
      <c r="R658" s="6"/>
      <c r="S658" s="6"/>
      <c r="T658" s="6"/>
      <c r="U658"/>
      <c r="V658"/>
      <c r="W658"/>
      <c r="X658"/>
    </row>
    <row r="659" spans="1:24" ht="33.75" x14ac:dyDescent="0.2">
      <c r="A659" s="18">
        <v>652</v>
      </c>
      <c r="B659" s="21" t="s">
        <v>646</v>
      </c>
      <c r="C659" s="5" t="s">
        <v>909</v>
      </c>
      <c r="D659" s="13">
        <v>142</v>
      </c>
      <c r="E659" s="21" t="s">
        <v>646</v>
      </c>
      <c r="F659" s="15" t="s">
        <v>50</v>
      </c>
      <c r="G659" s="20">
        <v>3</v>
      </c>
      <c r="H659" s="24">
        <v>6915.17</v>
      </c>
      <c r="I659" s="23">
        <f t="shared" si="12"/>
        <v>20745.510000000002</v>
      </c>
      <c r="J659" s="12" t="s">
        <v>43</v>
      </c>
      <c r="K659" s="12" t="s">
        <v>41</v>
      </c>
      <c r="L659" s="6"/>
      <c r="M659" s="6"/>
      <c r="N659" s="6"/>
      <c r="O659" s="6"/>
      <c r="P659" s="6"/>
      <c r="Q659" s="6"/>
      <c r="R659" s="6"/>
      <c r="S659" s="6"/>
      <c r="T659" s="6"/>
      <c r="U659"/>
      <c r="V659"/>
      <c r="W659"/>
      <c r="X659"/>
    </row>
    <row r="660" spans="1:24" ht="33.75" x14ac:dyDescent="0.2">
      <c r="A660" s="18">
        <v>653</v>
      </c>
      <c r="B660" s="21" t="s">
        <v>647</v>
      </c>
      <c r="C660" s="5" t="s">
        <v>909</v>
      </c>
      <c r="D660" s="13">
        <v>142</v>
      </c>
      <c r="E660" s="21" t="s">
        <v>647</v>
      </c>
      <c r="F660" s="15" t="s">
        <v>50</v>
      </c>
      <c r="G660" s="20">
        <v>1</v>
      </c>
      <c r="H660" s="24">
        <v>47247.32</v>
      </c>
      <c r="I660" s="23">
        <f t="shared" si="12"/>
        <v>47247.32</v>
      </c>
      <c r="J660" s="12" t="s">
        <v>43</v>
      </c>
      <c r="K660" s="12" t="s">
        <v>41</v>
      </c>
      <c r="L660" s="6"/>
      <c r="M660" s="6"/>
      <c r="N660" s="6"/>
      <c r="O660" s="6"/>
      <c r="P660" s="6"/>
      <c r="Q660" s="6"/>
      <c r="R660" s="6"/>
      <c r="S660" s="6"/>
      <c r="T660" s="6"/>
      <c r="U660"/>
      <c r="V660"/>
      <c r="W660"/>
      <c r="X660"/>
    </row>
    <row r="661" spans="1:24" ht="33.75" x14ac:dyDescent="0.2">
      <c r="A661" s="18">
        <v>654</v>
      </c>
      <c r="B661" s="21" t="s">
        <v>648</v>
      </c>
      <c r="C661" s="5" t="s">
        <v>909</v>
      </c>
      <c r="D661" s="13">
        <v>142</v>
      </c>
      <c r="E661" s="21" t="s">
        <v>648</v>
      </c>
      <c r="F661" s="15" t="s">
        <v>42</v>
      </c>
      <c r="G661" s="20">
        <v>2</v>
      </c>
      <c r="H661" s="24">
        <v>44553.57</v>
      </c>
      <c r="I661" s="23">
        <f t="shared" si="12"/>
        <v>89107.14</v>
      </c>
      <c r="J661" s="12" t="s">
        <v>43</v>
      </c>
      <c r="K661" s="12" t="s">
        <v>41</v>
      </c>
      <c r="L661" s="6"/>
      <c r="M661" s="6"/>
      <c r="N661" s="6"/>
      <c r="O661" s="6"/>
      <c r="P661" s="6"/>
      <c r="Q661" s="6"/>
      <c r="R661" s="6"/>
      <c r="S661" s="6"/>
      <c r="T661" s="6"/>
      <c r="U661"/>
      <c r="V661"/>
      <c r="W661"/>
      <c r="X661"/>
    </row>
    <row r="662" spans="1:24" ht="33.75" x14ac:dyDescent="0.2">
      <c r="A662" s="18">
        <v>655</v>
      </c>
      <c r="B662" s="21" t="s">
        <v>649</v>
      </c>
      <c r="C662" s="5" t="s">
        <v>909</v>
      </c>
      <c r="D662" s="13">
        <v>142</v>
      </c>
      <c r="E662" s="21" t="s">
        <v>649</v>
      </c>
      <c r="F662" s="15" t="s">
        <v>40</v>
      </c>
      <c r="G662" s="20">
        <v>10</v>
      </c>
      <c r="H662" s="24">
        <f>9862/1.12</f>
        <v>8805.3571428571413</v>
      </c>
      <c r="I662" s="23">
        <f t="shared" si="12"/>
        <v>88053.57142857142</v>
      </c>
      <c r="J662" s="12" t="s">
        <v>43</v>
      </c>
      <c r="K662" s="12" t="s">
        <v>41</v>
      </c>
      <c r="L662" s="6"/>
      <c r="M662" s="6"/>
      <c r="N662" s="6"/>
      <c r="O662" s="6"/>
      <c r="P662" s="6"/>
      <c r="Q662" s="6"/>
      <c r="R662" s="6"/>
      <c r="S662" s="6"/>
      <c r="T662" s="6"/>
      <c r="U662"/>
      <c r="V662"/>
      <c r="W662"/>
      <c r="X662"/>
    </row>
    <row r="663" spans="1:24" ht="33.75" x14ac:dyDescent="0.2">
      <c r="A663" s="18">
        <v>656</v>
      </c>
      <c r="B663" s="21" t="s">
        <v>650</v>
      </c>
      <c r="C663" s="5" t="s">
        <v>909</v>
      </c>
      <c r="D663" s="13">
        <v>142</v>
      </c>
      <c r="E663" s="21" t="s">
        <v>650</v>
      </c>
      <c r="F663" s="15" t="s">
        <v>51</v>
      </c>
      <c r="G663" s="20">
        <v>15</v>
      </c>
      <c r="H663" s="24">
        <v>1212.5</v>
      </c>
      <c r="I663" s="23">
        <f t="shared" si="12"/>
        <v>18187.5</v>
      </c>
      <c r="J663" s="12" t="s">
        <v>43</v>
      </c>
      <c r="K663" s="12" t="s">
        <v>41</v>
      </c>
      <c r="L663" s="6"/>
      <c r="M663" s="6"/>
      <c r="N663" s="6"/>
      <c r="O663" s="6"/>
      <c r="P663" s="6"/>
      <c r="Q663" s="6"/>
      <c r="R663" s="6"/>
      <c r="S663" s="6"/>
      <c r="T663" s="6"/>
      <c r="U663"/>
      <c r="V663"/>
      <c r="W663"/>
      <c r="X663"/>
    </row>
    <row r="664" spans="1:24" ht="33.75" x14ac:dyDescent="0.2">
      <c r="A664" s="18">
        <v>657</v>
      </c>
      <c r="B664" s="21" t="s">
        <v>651</v>
      </c>
      <c r="C664" s="5" t="s">
        <v>909</v>
      </c>
      <c r="D664" s="13">
        <v>142</v>
      </c>
      <c r="E664" s="21" t="s">
        <v>651</v>
      </c>
      <c r="F664" s="15" t="s">
        <v>50</v>
      </c>
      <c r="G664" s="20">
        <v>5</v>
      </c>
      <c r="H664" s="24">
        <f>3500/1.12</f>
        <v>3124.9999999999995</v>
      </c>
      <c r="I664" s="23">
        <f t="shared" si="12"/>
        <v>15624.999999999998</v>
      </c>
      <c r="J664" s="12" t="s">
        <v>43</v>
      </c>
      <c r="K664" s="12" t="s">
        <v>41</v>
      </c>
      <c r="L664" s="6"/>
      <c r="M664" s="6"/>
      <c r="N664" s="6"/>
      <c r="O664" s="6"/>
      <c r="P664" s="6"/>
      <c r="Q664" s="6"/>
      <c r="R664" s="6"/>
      <c r="S664" s="6"/>
      <c r="T664" s="6"/>
      <c r="U664"/>
      <c r="V664"/>
      <c r="W664"/>
      <c r="X664"/>
    </row>
    <row r="665" spans="1:24" ht="33.75" x14ac:dyDescent="0.2">
      <c r="A665" s="18">
        <v>658</v>
      </c>
      <c r="B665" s="21" t="s">
        <v>652</v>
      </c>
      <c r="C665" s="5" t="s">
        <v>909</v>
      </c>
      <c r="D665" s="13">
        <v>142</v>
      </c>
      <c r="E665" s="21" t="s">
        <v>652</v>
      </c>
      <c r="F665" s="15" t="s">
        <v>40</v>
      </c>
      <c r="G665" s="20">
        <v>3</v>
      </c>
      <c r="H665" s="24">
        <f>3200/1.12</f>
        <v>2857.1428571428569</v>
      </c>
      <c r="I665" s="23">
        <f t="shared" si="12"/>
        <v>8571.4285714285706</v>
      </c>
      <c r="J665" s="12" t="s">
        <v>43</v>
      </c>
      <c r="K665" s="12" t="s">
        <v>41</v>
      </c>
      <c r="L665" s="6"/>
      <c r="M665" s="6"/>
      <c r="N665" s="6"/>
      <c r="O665" s="6"/>
      <c r="P665" s="6"/>
      <c r="Q665" s="6"/>
      <c r="R665" s="6"/>
      <c r="S665" s="6"/>
      <c r="T665" s="6"/>
      <c r="U665"/>
      <c r="V665"/>
      <c r="W665"/>
      <c r="X665"/>
    </row>
    <row r="666" spans="1:24" ht="33.75" x14ac:dyDescent="0.2">
      <c r="A666" s="18">
        <v>659</v>
      </c>
      <c r="B666" s="21" t="s">
        <v>653</v>
      </c>
      <c r="C666" s="5" t="s">
        <v>909</v>
      </c>
      <c r="D666" s="13">
        <v>142</v>
      </c>
      <c r="E666" s="21" t="s">
        <v>653</v>
      </c>
      <c r="F666" s="15" t="s">
        <v>42</v>
      </c>
      <c r="G666" s="20">
        <v>5000</v>
      </c>
      <c r="H666" s="24">
        <f>125/1.12</f>
        <v>111.60714285714285</v>
      </c>
      <c r="I666" s="23">
        <f t="shared" si="12"/>
        <v>558035.7142857142</v>
      </c>
      <c r="J666" s="12" t="s">
        <v>43</v>
      </c>
      <c r="K666" s="12" t="s">
        <v>41</v>
      </c>
      <c r="L666" s="6"/>
      <c r="M666" s="6"/>
      <c r="N666" s="6"/>
      <c r="O666" s="6"/>
      <c r="P666" s="6"/>
      <c r="Q666" s="6"/>
      <c r="R666" s="6"/>
      <c r="S666" s="6"/>
      <c r="T666" s="6"/>
      <c r="U666"/>
      <c r="V666"/>
      <c r="W666"/>
      <c r="X666"/>
    </row>
    <row r="667" spans="1:24" ht="33.75" x14ac:dyDescent="0.2">
      <c r="A667" s="18">
        <v>660</v>
      </c>
      <c r="B667" s="21" t="s">
        <v>654</v>
      </c>
      <c r="C667" s="5" t="s">
        <v>909</v>
      </c>
      <c r="D667" s="13">
        <v>142</v>
      </c>
      <c r="E667" s="21" t="s">
        <v>654</v>
      </c>
      <c r="F667" s="15" t="s">
        <v>42</v>
      </c>
      <c r="G667" s="20">
        <v>40</v>
      </c>
      <c r="H667" s="24">
        <v>284.82</v>
      </c>
      <c r="I667" s="23">
        <f t="shared" si="12"/>
        <v>11392.8</v>
      </c>
      <c r="J667" s="12" t="s">
        <v>43</v>
      </c>
      <c r="K667" s="12" t="s">
        <v>41</v>
      </c>
      <c r="L667" s="6"/>
      <c r="M667" s="6"/>
      <c r="N667" s="6"/>
      <c r="O667" s="6"/>
      <c r="P667" s="6"/>
      <c r="Q667" s="6"/>
      <c r="R667" s="6"/>
      <c r="S667" s="6"/>
      <c r="T667" s="6"/>
      <c r="U667"/>
      <c r="V667"/>
      <c r="W667"/>
      <c r="X667"/>
    </row>
    <row r="668" spans="1:24" ht="33.75" x14ac:dyDescent="0.2">
      <c r="A668" s="18">
        <v>661</v>
      </c>
      <c r="B668" s="21" t="s">
        <v>655</v>
      </c>
      <c r="C668" s="5" t="s">
        <v>909</v>
      </c>
      <c r="D668" s="13">
        <v>142</v>
      </c>
      <c r="E668" s="21" t="s">
        <v>655</v>
      </c>
      <c r="F668" s="15" t="s">
        <v>50</v>
      </c>
      <c r="G668" s="20">
        <v>50</v>
      </c>
      <c r="H668" s="24">
        <v>12878.57</v>
      </c>
      <c r="I668" s="23">
        <f t="shared" si="12"/>
        <v>643928.5</v>
      </c>
      <c r="J668" s="12" t="s">
        <v>43</v>
      </c>
      <c r="K668" s="12" t="s">
        <v>41</v>
      </c>
      <c r="L668" s="6"/>
      <c r="M668" s="6"/>
      <c r="N668" s="6"/>
      <c r="O668" s="6"/>
      <c r="P668" s="6"/>
      <c r="Q668" s="6"/>
      <c r="R668" s="6"/>
      <c r="S668" s="6"/>
      <c r="T668" s="6"/>
      <c r="U668"/>
      <c r="V668"/>
      <c r="W668"/>
      <c r="X668"/>
    </row>
    <row r="669" spans="1:24" ht="33.75" x14ac:dyDescent="0.2">
      <c r="A669" s="18">
        <v>662</v>
      </c>
      <c r="B669" s="21" t="s">
        <v>656</v>
      </c>
      <c r="C669" s="5" t="s">
        <v>909</v>
      </c>
      <c r="D669" s="13">
        <v>142</v>
      </c>
      <c r="E669" s="21" t="s">
        <v>656</v>
      </c>
      <c r="F669" s="15" t="s">
        <v>50</v>
      </c>
      <c r="G669" s="20">
        <v>2</v>
      </c>
      <c r="H669" s="24">
        <v>15245.53</v>
      </c>
      <c r="I669" s="23">
        <f t="shared" si="12"/>
        <v>30491.06</v>
      </c>
      <c r="J669" s="12" t="s">
        <v>43</v>
      </c>
      <c r="K669" s="12" t="s">
        <v>41</v>
      </c>
      <c r="L669" s="6"/>
      <c r="M669" s="6"/>
      <c r="N669" s="6"/>
      <c r="O669" s="6"/>
      <c r="P669" s="6"/>
      <c r="Q669" s="6"/>
      <c r="R669" s="6"/>
      <c r="S669" s="6"/>
      <c r="T669" s="6"/>
      <c r="U669"/>
      <c r="V669"/>
      <c r="W669"/>
      <c r="X669"/>
    </row>
    <row r="670" spans="1:24" ht="33.75" x14ac:dyDescent="0.2">
      <c r="A670" s="18">
        <v>663</v>
      </c>
      <c r="B670" s="21" t="s">
        <v>657</v>
      </c>
      <c r="C670" s="5" t="s">
        <v>909</v>
      </c>
      <c r="D670" s="13">
        <v>142</v>
      </c>
      <c r="E670" s="21" t="s">
        <v>657</v>
      </c>
      <c r="F670" s="15" t="s">
        <v>45</v>
      </c>
      <c r="G670" s="20">
        <v>5</v>
      </c>
      <c r="H670" s="24">
        <f>2500/1.12</f>
        <v>2232.1428571428569</v>
      </c>
      <c r="I670" s="23">
        <f t="shared" si="12"/>
        <v>11160.714285714284</v>
      </c>
      <c r="J670" s="12" t="s">
        <v>43</v>
      </c>
      <c r="K670" s="12" t="s">
        <v>41</v>
      </c>
      <c r="L670" s="6"/>
      <c r="M670" s="6"/>
      <c r="N670" s="6"/>
      <c r="O670" s="6"/>
      <c r="P670" s="6"/>
      <c r="Q670" s="6"/>
      <c r="R670" s="6"/>
      <c r="S670" s="6"/>
      <c r="T670" s="6"/>
      <c r="U670"/>
      <c r="V670"/>
      <c r="W670"/>
      <c r="X670"/>
    </row>
    <row r="671" spans="1:24" ht="33.75" x14ac:dyDescent="0.2">
      <c r="A671" s="18">
        <v>664</v>
      </c>
      <c r="B671" s="7" t="s">
        <v>7</v>
      </c>
      <c r="C671" s="5" t="s">
        <v>909</v>
      </c>
      <c r="D671" s="13">
        <v>142</v>
      </c>
      <c r="E671" s="7" t="s">
        <v>7</v>
      </c>
      <c r="F671" s="15" t="s">
        <v>42</v>
      </c>
      <c r="G671" s="20">
        <v>1</v>
      </c>
      <c r="H671" s="24">
        <f>5200/1.12</f>
        <v>4642.8571428571422</v>
      </c>
      <c r="I671" s="23">
        <f t="shared" si="12"/>
        <v>4642.8571428571422</v>
      </c>
      <c r="J671" s="12" t="s">
        <v>43</v>
      </c>
      <c r="K671" s="12" t="s">
        <v>41</v>
      </c>
      <c r="L671" s="6"/>
      <c r="M671" s="6"/>
      <c r="N671" s="6"/>
      <c r="O671" s="6"/>
      <c r="P671" s="6"/>
      <c r="Q671" s="6"/>
      <c r="R671" s="6"/>
      <c r="S671" s="6"/>
      <c r="T671" s="6"/>
      <c r="U671"/>
      <c r="V671"/>
      <c r="W671"/>
      <c r="X671"/>
    </row>
    <row r="672" spans="1:24" ht="33.75" x14ac:dyDescent="0.2">
      <c r="A672" s="18">
        <v>665</v>
      </c>
      <c r="B672" s="7" t="s">
        <v>8</v>
      </c>
      <c r="C672" s="5" t="s">
        <v>909</v>
      </c>
      <c r="D672" s="13">
        <v>142</v>
      </c>
      <c r="E672" s="7" t="s">
        <v>8</v>
      </c>
      <c r="F672" s="15" t="s">
        <v>42</v>
      </c>
      <c r="G672" s="20">
        <v>1</v>
      </c>
      <c r="H672" s="24">
        <f>5200/1.12</f>
        <v>4642.8571428571422</v>
      </c>
      <c r="I672" s="23">
        <f t="shared" si="12"/>
        <v>4642.8571428571422</v>
      </c>
      <c r="J672" s="12" t="s">
        <v>43</v>
      </c>
      <c r="K672" s="12" t="s">
        <v>41</v>
      </c>
      <c r="L672" s="6"/>
      <c r="M672" s="6"/>
      <c r="N672" s="6"/>
      <c r="O672" s="6"/>
      <c r="P672" s="6"/>
      <c r="Q672" s="6"/>
      <c r="R672" s="6"/>
      <c r="S672" s="6"/>
      <c r="T672" s="6"/>
      <c r="U672"/>
      <c r="V672"/>
      <c r="W672"/>
      <c r="X672"/>
    </row>
    <row r="673" spans="1:24" ht="33.75" x14ac:dyDescent="0.2">
      <c r="A673" s="18">
        <v>666</v>
      </c>
      <c r="B673" s="7" t="s">
        <v>9</v>
      </c>
      <c r="C673" s="5" t="s">
        <v>909</v>
      </c>
      <c r="D673" s="13">
        <v>142</v>
      </c>
      <c r="E673" s="7" t="s">
        <v>9</v>
      </c>
      <c r="F673" s="15" t="s">
        <v>42</v>
      </c>
      <c r="G673" s="20">
        <v>1</v>
      </c>
      <c r="H673" s="24">
        <f>4656/1.12</f>
        <v>4157.1428571428569</v>
      </c>
      <c r="I673" s="23">
        <f t="shared" si="12"/>
        <v>4157.1428571428569</v>
      </c>
      <c r="J673" s="12" t="s">
        <v>43</v>
      </c>
      <c r="K673" s="12" t="s">
        <v>41</v>
      </c>
      <c r="L673" s="6"/>
      <c r="M673" s="6"/>
      <c r="N673" s="6"/>
      <c r="O673" s="6"/>
      <c r="P673" s="6"/>
      <c r="Q673" s="6"/>
      <c r="R673" s="6"/>
      <c r="S673" s="6"/>
      <c r="T673" s="6"/>
      <c r="U673"/>
      <c r="V673"/>
      <c r="W673"/>
      <c r="X673"/>
    </row>
    <row r="674" spans="1:24" ht="33.75" x14ac:dyDescent="0.2">
      <c r="A674" s="18">
        <v>667</v>
      </c>
      <c r="B674" s="7" t="s">
        <v>658</v>
      </c>
      <c r="C674" s="5" t="s">
        <v>909</v>
      </c>
      <c r="D674" s="13">
        <v>142</v>
      </c>
      <c r="E674" s="7" t="s">
        <v>658</v>
      </c>
      <c r="F674" s="15" t="s">
        <v>40</v>
      </c>
      <c r="G674" s="20">
        <v>1</v>
      </c>
      <c r="H674" s="24">
        <f>955.36/1.12</f>
        <v>852.99999999999989</v>
      </c>
      <c r="I674" s="23">
        <f t="shared" si="12"/>
        <v>852.99999999999989</v>
      </c>
      <c r="J674" s="12" t="s">
        <v>43</v>
      </c>
      <c r="K674" s="12" t="s">
        <v>41</v>
      </c>
      <c r="L674" s="6"/>
      <c r="M674" s="6"/>
      <c r="N674" s="6"/>
      <c r="O674" s="6"/>
      <c r="P674" s="6"/>
      <c r="Q674" s="6"/>
      <c r="R674" s="6"/>
      <c r="S674" s="6"/>
      <c r="T674" s="6"/>
      <c r="U674"/>
      <c r="V674"/>
      <c r="W674"/>
      <c r="X674"/>
    </row>
    <row r="675" spans="1:24" ht="33.75" x14ac:dyDescent="0.2">
      <c r="A675" s="18">
        <v>668</v>
      </c>
      <c r="B675" s="21" t="s">
        <v>659</v>
      </c>
      <c r="C675" s="5" t="s">
        <v>909</v>
      </c>
      <c r="D675" s="13">
        <v>142</v>
      </c>
      <c r="E675" s="21" t="s">
        <v>659</v>
      </c>
      <c r="F675" s="15" t="s">
        <v>42</v>
      </c>
      <c r="G675" s="20">
        <v>3</v>
      </c>
      <c r="H675" s="24">
        <f>300/1.12</f>
        <v>267.85714285714283</v>
      </c>
      <c r="I675" s="23">
        <f t="shared" si="12"/>
        <v>803.57142857142844</v>
      </c>
      <c r="J675" s="12" t="s">
        <v>43</v>
      </c>
      <c r="K675" s="12" t="s">
        <v>41</v>
      </c>
      <c r="L675" s="6"/>
      <c r="M675" s="6"/>
      <c r="N675" s="6"/>
      <c r="O675" s="6"/>
      <c r="P675" s="6"/>
      <c r="Q675" s="6"/>
      <c r="R675" s="6"/>
      <c r="S675" s="6"/>
      <c r="T675" s="6"/>
      <c r="U675"/>
      <c r="V675"/>
      <c r="W675"/>
      <c r="X675"/>
    </row>
    <row r="676" spans="1:24" ht="33.75" x14ac:dyDescent="0.2">
      <c r="A676" s="18">
        <v>669</v>
      </c>
      <c r="B676" s="21" t="s">
        <v>660</v>
      </c>
      <c r="C676" s="5" t="s">
        <v>909</v>
      </c>
      <c r="D676" s="13">
        <v>142</v>
      </c>
      <c r="E676" s="21" t="s">
        <v>660</v>
      </c>
      <c r="F676" s="15" t="s">
        <v>42</v>
      </c>
      <c r="G676" s="20">
        <v>2</v>
      </c>
      <c r="H676" s="24">
        <f>4501.12</f>
        <v>4501.12</v>
      </c>
      <c r="I676" s="23">
        <f t="shared" si="12"/>
        <v>9002.24</v>
      </c>
      <c r="J676" s="12" t="s">
        <v>43</v>
      </c>
      <c r="K676" s="12" t="s">
        <v>41</v>
      </c>
      <c r="L676" s="6"/>
      <c r="M676" s="6"/>
      <c r="N676" s="6"/>
      <c r="O676" s="6"/>
      <c r="P676" s="6"/>
      <c r="Q676" s="6"/>
      <c r="R676" s="6"/>
      <c r="S676" s="6"/>
      <c r="T676" s="6"/>
      <c r="U676"/>
      <c r="V676"/>
      <c r="W676"/>
      <c r="X676"/>
    </row>
    <row r="677" spans="1:24" ht="33.75" x14ac:dyDescent="0.2">
      <c r="A677" s="18">
        <v>670</v>
      </c>
      <c r="B677" s="21" t="s">
        <v>661</v>
      </c>
      <c r="C677" s="5" t="s">
        <v>909</v>
      </c>
      <c r="D677" s="13">
        <v>142</v>
      </c>
      <c r="E677" s="21" t="s">
        <v>661</v>
      </c>
      <c r="F677" s="15" t="s">
        <v>42</v>
      </c>
      <c r="G677" s="20">
        <v>2</v>
      </c>
      <c r="H677" s="24">
        <f>1800/1.12</f>
        <v>1607.1428571428569</v>
      </c>
      <c r="I677" s="23">
        <f t="shared" si="12"/>
        <v>3214.2857142857138</v>
      </c>
      <c r="J677" s="12" t="s">
        <v>43</v>
      </c>
      <c r="K677" s="12" t="s">
        <v>41</v>
      </c>
      <c r="L677" s="6"/>
      <c r="M677" s="6"/>
      <c r="N677" s="6"/>
      <c r="O677" s="6"/>
      <c r="P677" s="6"/>
      <c r="Q677" s="6"/>
      <c r="R677" s="6"/>
      <c r="S677" s="6"/>
      <c r="T677" s="6"/>
      <c r="U677"/>
      <c r="V677"/>
      <c r="W677"/>
      <c r="X677"/>
    </row>
    <row r="678" spans="1:24" ht="33.75" x14ac:dyDescent="0.2">
      <c r="A678" s="18">
        <v>671</v>
      </c>
      <c r="B678" s="21" t="s">
        <v>662</v>
      </c>
      <c r="C678" s="5" t="s">
        <v>909</v>
      </c>
      <c r="D678" s="13">
        <v>142</v>
      </c>
      <c r="E678" s="21" t="s">
        <v>662</v>
      </c>
      <c r="F678" s="15" t="s">
        <v>42</v>
      </c>
      <c r="G678" s="20">
        <v>5</v>
      </c>
      <c r="H678" s="24">
        <f>6500/1.12</f>
        <v>5803.5714285714284</v>
      </c>
      <c r="I678" s="23">
        <f t="shared" si="12"/>
        <v>29017.857142857141</v>
      </c>
      <c r="J678" s="12" t="s">
        <v>43</v>
      </c>
      <c r="K678" s="12" t="s">
        <v>41</v>
      </c>
      <c r="L678" s="6"/>
      <c r="M678" s="6"/>
      <c r="N678" s="6"/>
      <c r="O678" s="6"/>
      <c r="P678" s="6"/>
      <c r="Q678" s="6"/>
      <c r="R678" s="6"/>
      <c r="S678" s="6"/>
      <c r="T678" s="6"/>
      <c r="U678"/>
      <c r="V678"/>
      <c r="W678"/>
      <c r="X678"/>
    </row>
    <row r="679" spans="1:24" ht="33.75" x14ac:dyDescent="0.2">
      <c r="A679" s="18">
        <v>672</v>
      </c>
      <c r="B679" s="21" t="s">
        <v>663</v>
      </c>
      <c r="C679" s="5" t="s">
        <v>909</v>
      </c>
      <c r="D679" s="13">
        <v>142</v>
      </c>
      <c r="E679" s="21" t="s">
        <v>663</v>
      </c>
      <c r="F679" s="15" t="s">
        <v>42</v>
      </c>
      <c r="G679" s="20">
        <v>10</v>
      </c>
      <c r="H679" s="24">
        <f>5000/1.12</f>
        <v>4464.2857142857138</v>
      </c>
      <c r="I679" s="23">
        <f t="shared" si="12"/>
        <v>44642.857142857138</v>
      </c>
      <c r="J679" s="12" t="s">
        <v>43</v>
      </c>
      <c r="K679" s="12" t="s">
        <v>41</v>
      </c>
      <c r="L679" s="6"/>
      <c r="M679" s="6"/>
      <c r="N679" s="6"/>
      <c r="O679" s="6"/>
      <c r="P679" s="6"/>
      <c r="Q679" s="6"/>
      <c r="R679" s="6"/>
      <c r="S679" s="6"/>
      <c r="T679" s="6"/>
      <c r="U679"/>
      <c r="V679"/>
      <c r="W679"/>
      <c r="X679"/>
    </row>
    <row r="680" spans="1:24" ht="45" x14ac:dyDescent="0.2">
      <c r="A680" s="18">
        <v>673</v>
      </c>
      <c r="B680" s="21" t="s">
        <v>664</v>
      </c>
      <c r="C680" s="5" t="s">
        <v>909</v>
      </c>
      <c r="D680" s="13">
        <v>142</v>
      </c>
      <c r="E680" s="21" t="s">
        <v>664</v>
      </c>
      <c r="F680" s="15" t="s">
        <v>50</v>
      </c>
      <c r="G680" s="20">
        <v>80</v>
      </c>
      <c r="H680" s="24">
        <f>13000/1.12</f>
        <v>11607.142857142857</v>
      </c>
      <c r="I680" s="23">
        <f t="shared" si="12"/>
        <v>928571.42857142852</v>
      </c>
      <c r="J680" s="12" t="s">
        <v>43</v>
      </c>
      <c r="K680" s="12" t="s">
        <v>41</v>
      </c>
      <c r="L680" s="6"/>
      <c r="M680" s="6"/>
      <c r="N680" s="6"/>
      <c r="O680" s="6"/>
      <c r="P680" s="6"/>
      <c r="Q680" s="6"/>
      <c r="R680" s="6"/>
      <c r="S680" s="6"/>
      <c r="T680" s="6"/>
      <c r="U680"/>
      <c r="V680"/>
      <c r="W680"/>
      <c r="X680"/>
    </row>
    <row r="681" spans="1:24" ht="33.75" x14ac:dyDescent="0.2">
      <c r="A681" s="18">
        <v>674</v>
      </c>
      <c r="B681" s="21" t="s">
        <v>665</v>
      </c>
      <c r="C681" s="5" t="s">
        <v>909</v>
      </c>
      <c r="D681" s="13">
        <v>142</v>
      </c>
      <c r="E681" s="21" t="s">
        <v>665</v>
      </c>
      <c r="F681" s="15" t="s">
        <v>42</v>
      </c>
      <c r="G681" s="20">
        <v>4</v>
      </c>
      <c r="H681" s="24">
        <f>600/1.12</f>
        <v>535.71428571428567</v>
      </c>
      <c r="I681" s="23">
        <f t="shared" si="12"/>
        <v>2142.8571428571427</v>
      </c>
      <c r="J681" s="12" t="s">
        <v>43</v>
      </c>
      <c r="K681" s="12" t="s">
        <v>41</v>
      </c>
      <c r="L681" s="6"/>
      <c r="M681" s="6"/>
      <c r="N681" s="6"/>
      <c r="O681" s="6"/>
      <c r="P681" s="6"/>
      <c r="Q681" s="6"/>
      <c r="R681" s="6"/>
      <c r="S681" s="6"/>
      <c r="T681" s="6"/>
      <c r="U681"/>
      <c r="V681"/>
      <c r="W681"/>
      <c r="X681"/>
    </row>
    <row r="682" spans="1:24" ht="33.75" x14ac:dyDescent="0.2">
      <c r="A682" s="18">
        <v>675</v>
      </c>
      <c r="B682" s="21" t="s">
        <v>666</v>
      </c>
      <c r="C682" s="5" t="s">
        <v>909</v>
      </c>
      <c r="D682" s="13">
        <v>142</v>
      </c>
      <c r="E682" s="21" t="s">
        <v>666</v>
      </c>
      <c r="F682" s="15" t="s">
        <v>42</v>
      </c>
      <c r="G682" s="20">
        <v>15000</v>
      </c>
      <c r="H682" s="24">
        <f>12/1.12</f>
        <v>10.714285714285714</v>
      </c>
      <c r="I682" s="23">
        <f t="shared" si="12"/>
        <v>160714.28571428571</v>
      </c>
      <c r="J682" s="12" t="s">
        <v>43</v>
      </c>
      <c r="K682" s="12" t="s">
        <v>41</v>
      </c>
      <c r="L682" s="6"/>
      <c r="M682" s="6"/>
      <c r="N682" s="6"/>
      <c r="O682" s="6"/>
      <c r="P682" s="6"/>
      <c r="Q682" s="6"/>
      <c r="R682" s="6"/>
      <c r="S682" s="6"/>
      <c r="T682" s="6"/>
      <c r="U682"/>
      <c r="V682"/>
      <c r="W682"/>
      <c r="X682"/>
    </row>
    <row r="683" spans="1:24" ht="33.75" x14ac:dyDescent="0.2">
      <c r="A683" s="18">
        <v>676</v>
      </c>
      <c r="B683" s="21" t="s">
        <v>667</v>
      </c>
      <c r="C683" s="5" t="s">
        <v>909</v>
      </c>
      <c r="D683" s="13">
        <v>142</v>
      </c>
      <c r="E683" s="21" t="s">
        <v>667</v>
      </c>
      <c r="F683" s="15" t="s">
        <v>42</v>
      </c>
      <c r="G683" s="20">
        <v>25000</v>
      </c>
      <c r="H683" s="24">
        <f>23/1.12</f>
        <v>20.535714285714285</v>
      </c>
      <c r="I683" s="23">
        <f t="shared" si="12"/>
        <v>513392.8571428571</v>
      </c>
      <c r="J683" s="12" t="s">
        <v>43</v>
      </c>
      <c r="K683" s="12" t="s">
        <v>41</v>
      </c>
      <c r="L683" s="6"/>
      <c r="M683" s="6"/>
      <c r="N683" s="6"/>
      <c r="O683" s="6"/>
      <c r="P683" s="6"/>
      <c r="Q683" s="6"/>
      <c r="R683" s="6"/>
      <c r="S683" s="6"/>
      <c r="T683" s="6"/>
      <c r="U683"/>
      <c r="V683"/>
      <c r="W683"/>
      <c r="X683"/>
    </row>
    <row r="684" spans="1:24" ht="33.75" x14ac:dyDescent="0.2">
      <c r="A684" s="18">
        <v>677</v>
      </c>
      <c r="B684" s="21" t="s">
        <v>668</v>
      </c>
      <c r="C684" s="5" t="s">
        <v>909</v>
      </c>
      <c r="D684" s="13">
        <v>142</v>
      </c>
      <c r="E684" s="21" t="s">
        <v>668</v>
      </c>
      <c r="F684" s="15" t="s">
        <v>42</v>
      </c>
      <c r="G684" s="20">
        <v>20000</v>
      </c>
      <c r="H684" s="24">
        <f>70/1.12</f>
        <v>62.499999999999993</v>
      </c>
      <c r="I684" s="23">
        <f t="shared" si="12"/>
        <v>1249999.9999999998</v>
      </c>
      <c r="J684" s="12" t="s">
        <v>43</v>
      </c>
      <c r="K684" s="12" t="s">
        <v>41</v>
      </c>
      <c r="L684" s="6"/>
      <c r="M684" s="6"/>
      <c r="N684" s="6"/>
      <c r="O684" s="6"/>
      <c r="P684" s="6"/>
      <c r="Q684" s="6"/>
      <c r="R684" s="6"/>
      <c r="S684" s="6"/>
      <c r="T684" s="6"/>
      <c r="U684"/>
      <c r="V684"/>
      <c r="W684"/>
      <c r="X684"/>
    </row>
    <row r="685" spans="1:24" ht="33.75" x14ac:dyDescent="0.2">
      <c r="A685" s="18">
        <v>678</v>
      </c>
      <c r="B685" s="22" t="s">
        <v>12</v>
      </c>
      <c r="C685" s="5" t="s">
        <v>909</v>
      </c>
      <c r="D685" s="13">
        <v>142</v>
      </c>
      <c r="E685" s="22" t="s">
        <v>12</v>
      </c>
      <c r="F685" s="15" t="s">
        <v>42</v>
      </c>
      <c r="G685" s="20">
        <v>5000</v>
      </c>
      <c r="H685" s="24">
        <f>100/1.12</f>
        <v>89.285714285714278</v>
      </c>
      <c r="I685" s="23">
        <f t="shared" si="12"/>
        <v>446428.57142857136</v>
      </c>
      <c r="J685" s="12" t="s">
        <v>43</v>
      </c>
      <c r="K685" s="12" t="s">
        <v>41</v>
      </c>
      <c r="L685" s="6"/>
      <c r="M685" s="6"/>
      <c r="N685" s="6"/>
      <c r="O685" s="6"/>
      <c r="P685" s="6"/>
      <c r="Q685" s="6"/>
      <c r="R685" s="6"/>
      <c r="S685" s="6"/>
      <c r="T685" s="6"/>
      <c r="U685"/>
      <c r="V685"/>
      <c r="W685"/>
      <c r="X685"/>
    </row>
    <row r="686" spans="1:24" ht="33.75" x14ac:dyDescent="0.2">
      <c r="A686" s="18">
        <v>679</v>
      </c>
      <c r="B686" s="22" t="s">
        <v>13</v>
      </c>
      <c r="C686" s="5" t="s">
        <v>909</v>
      </c>
      <c r="D686" s="13">
        <v>142</v>
      </c>
      <c r="E686" s="22" t="s">
        <v>13</v>
      </c>
      <c r="F686" s="15" t="s">
        <v>42</v>
      </c>
      <c r="G686" s="20">
        <v>2500</v>
      </c>
      <c r="H686" s="24">
        <f>135/1.12</f>
        <v>120.53571428571428</v>
      </c>
      <c r="I686" s="23">
        <f t="shared" si="12"/>
        <v>301339.28571428568</v>
      </c>
      <c r="J686" s="12" t="s">
        <v>43</v>
      </c>
      <c r="K686" s="12" t="s">
        <v>41</v>
      </c>
      <c r="L686" s="6"/>
      <c r="M686" s="6"/>
      <c r="N686" s="6"/>
      <c r="O686" s="6"/>
      <c r="P686" s="6"/>
      <c r="Q686" s="6"/>
      <c r="R686" s="6"/>
      <c r="S686" s="6"/>
      <c r="T686" s="6"/>
      <c r="U686"/>
      <c r="V686"/>
      <c r="W686"/>
      <c r="X686"/>
    </row>
    <row r="687" spans="1:24" ht="33.75" x14ac:dyDescent="0.2">
      <c r="A687" s="18">
        <v>680</v>
      </c>
      <c r="B687" s="22" t="s">
        <v>14</v>
      </c>
      <c r="C687" s="5" t="s">
        <v>909</v>
      </c>
      <c r="D687" s="13">
        <v>142</v>
      </c>
      <c r="E687" s="22" t="s">
        <v>14</v>
      </c>
      <c r="F687" s="15" t="s">
        <v>42</v>
      </c>
      <c r="G687" s="20">
        <v>10000</v>
      </c>
      <c r="H687" s="24">
        <f>75/1.12</f>
        <v>66.964285714285708</v>
      </c>
      <c r="I687" s="23">
        <f t="shared" si="12"/>
        <v>669642.85714285704</v>
      </c>
      <c r="J687" s="12" t="s">
        <v>43</v>
      </c>
      <c r="K687" s="12" t="s">
        <v>41</v>
      </c>
      <c r="L687" s="6"/>
      <c r="M687" s="6"/>
      <c r="N687" s="6"/>
      <c r="O687" s="6"/>
      <c r="P687" s="6"/>
      <c r="Q687" s="6"/>
      <c r="R687" s="6"/>
      <c r="S687" s="6"/>
      <c r="T687" s="6"/>
      <c r="U687"/>
      <c r="V687"/>
      <c r="W687"/>
      <c r="X687"/>
    </row>
    <row r="688" spans="1:24" ht="33.75" x14ac:dyDescent="0.2">
      <c r="A688" s="18">
        <v>681</v>
      </c>
      <c r="B688" s="21" t="s">
        <v>669</v>
      </c>
      <c r="C688" s="5" t="s">
        <v>909</v>
      </c>
      <c r="D688" s="13">
        <v>142</v>
      </c>
      <c r="E688" s="21" t="s">
        <v>669</v>
      </c>
      <c r="F688" s="15" t="s">
        <v>42</v>
      </c>
      <c r="G688" s="20">
        <v>3000</v>
      </c>
      <c r="H688" s="24">
        <f>345/1.12</f>
        <v>308.03571428571428</v>
      </c>
      <c r="I688" s="23">
        <f t="shared" si="12"/>
        <v>924107.14285714284</v>
      </c>
      <c r="J688" s="12" t="s">
        <v>43</v>
      </c>
      <c r="K688" s="12" t="s">
        <v>41</v>
      </c>
      <c r="L688" s="6"/>
      <c r="M688" s="6"/>
      <c r="N688" s="6"/>
      <c r="O688" s="6"/>
      <c r="P688" s="6"/>
      <c r="Q688" s="6"/>
      <c r="R688" s="6"/>
      <c r="S688" s="6"/>
      <c r="T688" s="6"/>
      <c r="U688"/>
      <c r="V688"/>
      <c r="W688"/>
      <c r="X688"/>
    </row>
    <row r="689" spans="1:24" ht="33.75" x14ac:dyDescent="0.2">
      <c r="A689" s="18">
        <v>682</v>
      </c>
      <c r="B689" s="22" t="s">
        <v>670</v>
      </c>
      <c r="C689" s="5" t="s">
        <v>909</v>
      </c>
      <c r="D689" s="13">
        <v>142</v>
      </c>
      <c r="E689" s="22" t="s">
        <v>670</v>
      </c>
      <c r="F689" s="15" t="s">
        <v>42</v>
      </c>
      <c r="G689" s="20">
        <v>10</v>
      </c>
      <c r="H689" s="24">
        <f>250/1.12</f>
        <v>223.21428571428569</v>
      </c>
      <c r="I689" s="23">
        <f t="shared" si="12"/>
        <v>2232.1428571428569</v>
      </c>
      <c r="J689" s="12" t="s">
        <v>43</v>
      </c>
      <c r="K689" s="12" t="s">
        <v>41</v>
      </c>
      <c r="L689" s="6"/>
      <c r="M689" s="6"/>
      <c r="N689" s="6"/>
      <c r="O689" s="6"/>
      <c r="P689" s="6"/>
      <c r="Q689" s="6"/>
      <c r="R689" s="6"/>
      <c r="S689" s="6"/>
      <c r="T689" s="6"/>
      <c r="U689"/>
      <c r="V689"/>
      <c r="W689"/>
      <c r="X689"/>
    </row>
    <row r="690" spans="1:24" ht="33.75" x14ac:dyDescent="0.2">
      <c r="A690" s="18">
        <v>683</v>
      </c>
      <c r="B690" s="22" t="s">
        <v>671</v>
      </c>
      <c r="C690" s="5" t="s">
        <v>909</v>
      </c>
      <c r="D690" s="13">
        <v>142</v>
      </c>
      <c r="E690" s="22" t="s">
        <v>671</v>
      </c>
      <c r="F690" s="15" t="s">
        <v>42</v>
      </c>
      <c r="G690" s="20">
        <v>10</v>
      </c>
      <c r="H690" s="24">
        <f>2000/1.12</f>
        <v>1785.7142857142856</v>
      </c>
      <c r="I690" s="23">
        <f t="shared" si="12"/>
        <v>17857.142857142855</v>
      </c>
      <c r="J690" s="12" t="s">
        <v>43</v>
      </c>
      <c r="K690" s="12" t="s">
        <v>41</v>
      </c>
      <c r="L690" s="6"/>
      <c r="M690" s="6"/>
      <c r="N690" s="6"/>
      <c r="O690" s="6"/>
      <c r="P690" s="6"/>
      <c r="Q690" s="6"/>
      <c r="R690" s="6"/>
      <c r="S690" s="6"/>
      <c r="T690" s="6"/>
      <c r="U690"/>
      <c r="V690"/>
      <c r="W690"/>
      <c r="X690"/>
    </row>
    <row r="691" spans="1:24" ht="33.75" x14ac:dyDescent="0.2">
      <c r="A691" s="18">
        <v>684</v>
      </c>
      <c r="B691" s="22" t="s">
        <v>912</v>
      </c>
      <c r="C691" s="5" t="s">
        <v>909</v>
      </c>
      <c r="D691" s="13">
        <v>142</v>
      </c>
      <c r="E691" s="22" t="s">
        <v>912</v>
      </c>
      <c r="F691" s="15" t="s">
        <v>42</v>
      </c>
      <c r="G691" s="20">
        <v>10</v>
      </c>
      <c r="H691" s="24">
        <f>550/1.12</f>
        <v>491.0714285714285</v>
      </c>
      <c r="I691" s="23">
        <f t="shared" si="12"/>
        <v>4910.7142857142853</v>
      </c>
      <c r="J691" s="12" t="s">
        <v>43</v>
      </c>
      <c r="K691" s="12" t="s">
        <v>41</v>
      </c>
      <c r="L691" s="6"/>
      <c r="M691" s="6"/>
      <c r="N691" s="6"/>
      <c r="O691" s="6"/>
      <c r="P691" s="6"/>
      <c r="Q691" s="6"/>
      <c r="R691" s="6"/>
      <c r="S691" s="6"/>
      <c r="T691" s="6"/>
      <c r="U691"/>
      <c r="V691"/>
      <c r="W691"/>
      <c r="X691"/>
    </row>
    <row r="692" spans="1:24" ht="33.75" x14ac:dyDescent="0.2">
      <c r="A692" s="18">
        <v>685</v>
      </c>
      <c r="B692" s="22" t="s">
        <v>672</v>
      </c>
      <c r="C692" s="5" t="s">
        <v>909</v>
      </c>
      <c r="D692" s="13">
        <v>142</v>
      </c>
      <c r="E692" s="22" t="s">
        <v>672</v>
      </c>
      <c r="F692" s="15" t="s">
        <v>42</v>
      </c>
      <c r="G692" s="20">
        <v>10</v>
      </c>
      <c r="H692" s="24">
        <f>1200/1.12</f>
        <v>1071.4285714285713</v>
      </c>
      <c r="I692" s="23">
        <f t="shared" si="12"/>
        <v>10714.285714285714</v>
      </c>
      <c r="J692" s="12" t="s">
        <v>43</v>
      </c>
      <c r="K692" s="12" t="s">
        <v>41</v>
      </c>
      <c r="L692" s="6"/>
      <c r="M692" s="6"/>
      <c r="N692" s="6"/>
      <c r="O692" s="6"/>
      <c r="P692" s="6"/>
      <c r="Q692" s="6"/>
      <c r="R692" s="6"/>
      <c r="S692" s="6"/>
      <c r="T692" s="6"/>
      <c r="U692"/>
      <c r="V692"/>
      <c r="W692"/>
      <c r="X692"/>
    </row>
    <row r="693" spans="1:24" ht="33.75" x14ac:dyDescent="0.2">
      <c r="A693" s="18">
        <v>686</v>
      </c>
      <c r="B693" s="22" t="s">
        <v>15</v>
      </c>
      <c r="C693" s="5" t="s">
        <v>909</v>
      </c>
      <c r="D693" s="13">
        <v>142</v>
      </c>
      <c r="E693" s="22" t="s">
        <v>15</v>
      </c>
      <c r="F693" s="15" t="s">
        <v>42</v>
      </c>
      <c r="G693" s="20">
        <v>20000</v>
      </c>
      <c r="H693" s="24">
        <f>9/1.12</f>
        <v>8.0357142857142847</v>
      </c>
      <c r="I693" s="23">
        <f t="shared" si="12"/>
        <v>160714.28571428568</v>
      </c>
      <c r="J693" s="12" t="s">
        <v>43</v>
      </c>
      <c r="K693" s="12" t="s">
        <v>41</v>
      </c>
      <c r="L693" s="6"/>
      <c r="M693" s="6"/>
      <c r="N693" s="6"/>
      <c r="O693" s="6"/>
      <c r="P693" s="6"/>
      <c r="Q693" s="6"/>
      <c r="R693" s="6"/>
      <c r="S693" s="6"/>
      <c r="T693" s="6"/>
      <c r="U693"/>
      <c r="V693"/>
      <c r="W693"/>
      <c r="X693"/>
    </row>
    <row r="694" spans="1:24" ht="33.75" x14ac:dyDescent="0.2">
      <c r="A694" s="18">
        <v>687</v>
      </c>
      <c r="B694" s="21" t="s">
        <v>673</v>
      </c>
      <c r="C694" s="5" t="s">
        <v>909</v>
      </c>
      <c r="D694" s="13">
        <v>142</v>
      </c>
      <c r="E694" s="21" t="s">
        <v>673</v>
      </c>
      <c r="F694" s="15" t="s">
        <v>42</v>
      </c>
      <c r="G694" s="20">
        <v>2</v>
      </c>
      <c r="H694" s="24">
        <f>18125/1.12</f>
        <v>16183.035714285712</v>
      </c>
      <c r="I694" s="23">
        <f t="shared" si="12"/>
        <v>32366.071428571424</v>
      </c>
      <c r="J694" s="12" t="s">
        <v>43</v>
      </c>
      <c r="K694" s="12" t="s">
        <v>41</v>
      </c>
      <c r="L694" s="6"/>
      <c r="M694" s="6"/>
      <c r="N694" s="6"/>
      <c r="O694" s="6"/>
      <c r="P694" s="6"/>
      <c r="Q694" s="6"/>
      <c r="R694" s="6"/>
      <c r="S694" s="6"/>
      <c r="T694" s="6"/>
      <c r="U694"/>
      <c r="V694"/>
      <c r="W694"/>
      <c r="X694"/>
    </row>
    <row r="695" spans="1:24" ht="33.75" x14ac:dyDescent="0.2">
      <c r="A695" s="18">
        <v>688</v>
      </c>
      <c r="B695" s="21" t="s">
        <v>674</v>
      </c>
      <c r="C695" s="5" t="s">
        <v>909</v>
      </c>
      <c r="D695" s="13">
        <v>142</v>
      </c>
      <c r="E695" s="21" t="s">
        <v>674</v>
      </c>
      <c r="F695" s="15" t="s">
        <v>42</v>
      </c>
      <c r="G695" s="20">
        <v>4</v>
      </c>
      <c r="H695" s="24">
        <f>8500/1.12</f>
        <v>7589.2857142857138</v>
      </c>
      <c r="I695" s="23">
        <f t="shared" si="12"/>
        <v>30357.142857142855</v>
      </c>
      <c r="J695" s="12" t="s">
        <v>43</v>
      </c>
      <c r="K695" s="12" t="s">
        <v>41</v>
      </c>
      <c r="L695" s="6"/>
      <c r="M695" s="6"/>
      <c r="N695" s="6"/>
      <c r="O695" s="6"/>
      <c r="P695" s="6"/>
      <c r="Q695" s="6"/>
      <c r="R695" s="6"/>
      <c r="S695" s="6"/>
      <c r="T695" s="6"/>
      <c r="U695"/>
      <c r="V695"/>
      <c r="W695"/>
      <c r="X695"/>
    </row>
    <row r="696" spans="1:24" ht="33.75" x14ac:dyDescent="0.2">
      <c r="A696" s="18">
        <v>689</v>
      </c>
      <c r="B696" s="21" t="s">
        <v>675</v>
      </c>
      <c r="C696" s="5" t="s">
        <v>909</v>
      </c>
      <c r="D696" s="13">
        <v>142</v>
      </c>
      <c r="E696" s="21" t="s">
        <v>675</v>
      </c>
      <c r="F696" s="15" t="s">
        <v>42</v>
      </c>
      <c r="G696" s="20">
        <v>4</v>
      </c>
      <c r="H696" s="24">
        <f>11500/1.12</f>
        <v>10267.857142857141</v>
      </c>
      <c r="I696" s="23">
        <f t="shared" si="12"/>
        <v>41071.428571428565</v>
      </c>
      <c r="J696" s="12" t="s">
        <v>43</v>
      </c>
      <c r="K696" s="12" t="s">
        <v>41</v>
      </c>
      <c r="L696" s="6"/>
      <c r="M696" s="6"/>
      <c r="N696" s="6"/>
      <c r="O696" s="6"/>
      <c r="P696" s="6"/>
      <c r="Q696" s="6"/>
      <c r="R696" s="6"/>
      <c r="S696" s="6"/>
      <c r="T696" s="6"/>
      <c r="U696"/>
      <c r="V696"/>
      <c r="W696"/>
      <c r="X696"/>
    </row>
    <row r="697" spans="1:24" ht="33.75" x14ac:dyDescent="0.2">
      <c r="A697" s="18">
        <v>690</v>
      </c>
      <c r="B697" s="21" t="s">
        <v>676</v>
      </c>
      <c r="C697" s="5" t="s">
        <v>909</v>
      </c>
      <c r="D697" s="13">
        <v>142</v>
      </c>
      <c r="E697" s="21" t="s">
        <v>676</v>
      </c>
      <c r="F697" s="15" t="s">
        <v>42</v>
      </c>
      <c r="G697" s="20">
        <v>1</v>
      </c>
      <c r="H697" s="24">
        <f>19200/1.12</f>
        <v>17142.857142857141</v>
      </c>
      <c r="I697" s="23">
        <f t="shared" si="12"/>
        <v>17142.857142857141</v>
      </c>
      <c r="J697" s="12" t="s">
        <v>43</v>
      </c>
      <c r="K697" s="12" t="s">
        <v>41</v>
      </c>
      <c r="L697" s="6"/>
      <c r="M697" s="6"/>
      <c r="N697" s="6"/>
      <c r="O697" s="6"/>
      <c r="P697" s="6"/>
      <c r="Q697" s="6"/>
      <c r="R697" s="6"/>
      <c r="S697" s="6"/>
      <c r="T697" s="6"/>
      <c r="U697"/>
      <c r="V697"/>
      <c r="W697"/>
      <c r="X697"/>
    </row>
    <row r="698" spans="1:24" ht="33.75" x14ac:dyDescent="0.2">
      <c r="A698" s="18">
        <v>691</v>
      </c>
      <c r="B698" s="21" t="s">
        <v>861</v>
      </c>
      <c r="C698" s="5" t="s">
        <v>909</v>
      </c>
      <c r="D698" s="13">
        <v>142</v>
      </c>
      <c r="E698" s="21" t="s">
        <v>862</v>
      </c>
      <c r="F698" s="15" t="s">
        <v>42</v>
      </c>
      <c r="G698" s="20">
        <v>300</v>
      </c>
      <c r="H698" s="24">
        <f>150/1.12</f>
        <v>133.92857142857142</v>
      </c>
      <c r="I698" s="23">
        <f t="shared" si="12"/>
        <v>40178.571428571428</v>
      </c>
      <c r="J698" s="12" t="s">
        <v>43</v>
      </c>
      <c r="K698" s="12" t="s">
        <v>41</v>
      </c>
      <c r="L698" s="6"/>
      <c r="M698" s="6"/>
      <c r="N698" s="6"/>
      <c r="O698" s="6"/>
      <c r="P698" s="6"/>
      <c r="Q698" s="6"/>
      <c r="R698" s="6"/>
      <c r="S698" s="6"/>
      <c r="T698" s="6"/>
      <c r="U698"/>
      <c r="V698"/>
      <c r="W698"/>
      <c r="X698"/>
    </row>
    <row r="699" spans="1:24" ht="33.75" x14ac:dyDescent="0.2">
      <c r="A699" s="18">
        <v>692</v>
      </c>
      <c r="B699" s="21" t="s">
        <v>863</v>
      </c>
      <c r="C699" s="5" t="s">
        <v>909</v>
      </c>
      <c r="D699" s="13">
        <v>142</v>
      </c>
      <c r="E699" s="21" t="s">
        <v>864</v>
      </c>
      <c r="F699" s="15" t="s">
        <v>42</v>
      </c>
      <c r="G699" s="20">
        <v>600</v>
      </c>
      <c r="H699" s="24">
        <f>250/1.12</f>
        <v>223.21428571428569</v>
      </c>
      <c r="I699" s="23">
        <f t="shared" si="12"/>
        <v>133928.57142857142</v>
      </c>
      <c r="J699" s="12" t="s">
        <v>43</v>
      </c>
      <c r="K699" s="12" t="s">
        <v>41</v>
      </c>
      <c r="L699" s="6"/>
      <c r="M699" s="6"/>
      <c r="N699" s="6"/>
      <c r="O699" s="6"/>
      <c r="P699" s="6"/>
      <c r="Q699" s="6"/>
      <c r="R699" s="6"/>
      <c r="S699" s="6"/>
      <c r="T699" s="6"/>
      <c r="U699"/>
      <c r="V699"/>
      <c r="W699"/>
      <c r="X699"/>
    </row>
    <row r="700" spans="1:24" ht="33.75" x14ac:dyDescent="0.2">
      <c r="A700" s="18">
        <v>693</v>
      </c>
      <c r="B700" s="21" t="s">
        <v>865</v>
      </c>
      <c r="C700" s="5" t="s">
        <v>909</v>
      </c>
      <c r="D700" s="13">
        <v>142</v>
      </c>
      <c r="E700" s="21" t="s">
        <v>866</v>
      </c>
      <c r="F700" s="15" t="s">
        <v>42</v>
      </c>
      <c r="G700" s="20">
        <v>250</v>
      </c>
      <c r="H700" s="24">
        <f>860.4/1.12</f>
        <v>768.21428571428567</v>
      </c>
      <c r="I700" s="23">
        <f t="shared" si="12"/>
        <v>192053.57142857142</v>
      </c>
      <c r="J700" s="12" t="s">
        <v>43</v>
      </c>
      <c r="K700" s="12" t="s">
        <v>41</v>
      </c>
      <c r="L700" s="6"/>
      <c r="M700" s="6"/>
      <c r="N700" s="6"/>
      <c r="O700" s="6"/>
      <c r="P700" s="6"/>
      <c r="Q700" s="6"/>
      <c r="R700" s="6"/>
      <c r="S700" s="6"/>
      <c r="T700" s="6"/>
      <c r="U700"/>
      <c r="V700"/>
      <c r="W700"/>
      <c r="X700"/>
    </row>
    <row r="701" spans="1:24" ht="33.75" x14ac:dyDescent="0.2">
      <c r="A701" s="18">
        <v>694</v>
      </c>
      <c r="B701" s="21" t="s">
        <v>867</v>
      </c>
      <c r="C701" s="5" t="s">
        <v>909</v>
      </c>
      <c r="D701" s="13">
        <v>142</v>
      </c>
      <c r="E701" s="21" t="s">
        <v>868</v>
      </c>
      <c r="F701" s="15" t="s">
        <v>42</v>
      </c>
      <c r="G701" s="20">
        <v>350</v>
      </c>
      <c r="H701" s="24">
        <f>110/1.12</f>
        <v>98.214285714285708</v>
      </c>
      <c r="I701" s="23">
        <f t="shared" si="12"/>
        <v>34375</v>
      </c>
      <c r="J701" s="12" t="s">
        <v>43</v>
      </c>
      <c r="K701" s="12" t="s">
        <v>41</v>
      </c>
      <c r="L701" s="6"/>
      <c r="M701" s="6"/>
      <c r="N701" s="6"/>
      <c r="O701" s="6"/>
      <c r="P701" s="6"/>
      <c r="Q701" s="6"/>
      <c r="R701" s="6"/>
      <c r="S701" s="6"/>
      <c r="T701" s="6"/>
      <c r="U701"/>
      <c r="V701"/>
      <c r="W701"/>
      <c r="X701"/>
    </row>
    <row r="702" spans="1:24" ht="33.75" x14ac:dyDescent="0.2">
      <c r="A702" s="18">
        <v>695</v>
      </c>
      <c r="B702" s="21" t="s">
        <v>869</v>
      </c>
      <c r="C702" s="5" t="s">
        <v>909</v>
      </c>
      <c r="D702" s="13">
        <v>142</v>
      </c>
      <c r="E702" s="21" t="s">
        <v>870</v>
      </c>
      <c r="F702" s="15" t="s">
        <v>42</v>
      </c>
      <c r="G702" s="20">
        <v>500</v>
      </c>
      <c r="H702" s="24">
        <f>560/1.12</f>
        <v>499.99999999999994</v>
      </c>
      <c r="I702" s="23">
        <f t="shared" si="12"/>
        <v>249999.99999999997</v>
      </c>
      <c r="J702" s="12" t="s">
        <v>43</v>
      </c>
      <c r="K702" s="12" t="s">
        <v>41</v>
      </c>
      <c r="L702" s="6"/>
      <c r="M702" s="6"/>
      <c r="N702" s="6"/>
      <c r="O702" s="6"/>
      <c r="P702" s="6"/>
      <c r="Q702" s="6"/>
      <c r="R702" s="6"/>
      <c r="S702" s="6"/>
      <c r="T702" s="6"/>
      <c r="U702"/>
      <c r="V702"/>
      <c r="W702"/>
      <c r="X702"/>
    </row>
    <row r="703" spans="1:24" ht="33.75" x14ac:dyDescent="0.2">
      <c r="A703" s="18">
        <v>696</v>
      </c>
      <c r="B703" s="21" t="s">
        <v>871</v>
      </c>
      <c r="C703" s="5" t="s">
        <v>909</v>
      </c>
      <c r="D703" s="13">
        <v>142</v>
      </c>
      <c r="E703" s="21" t="s">
        <v>872</v>
      </c>
      <c r="F703" s="15" t="s">
        <v>42</v>
      </c>
      <c r="G703" s="20">
        <v>30</v>
      </c>
      <c r="H703" s="24">
        <f>1200/1.12</f>
        <v>1071.4285714285713</v>
      </c>
      <c r="I703" s="23">
        <f t="shared" si="12"/>
        <v>32142.857142857141</v>
      </c>
      <c r="J703" s="12" t="s">
        <v>43</v>
      </c>
      <c r="K703" s="12" t="s">
        <v>41</v>
      </c>
      <c r="L703" s="6"/>
      <c r="M703" s="6"/>
      <c r="N703" s="6"/>
      <c r="O703" s="6"/>
      <c r="P703" s="6"/>
      <c r="Q703" s="6"/>
      <c r="R703" s="6"/>
      <c r="S703" s="6"/>
      <c r="T703" s="6"/>
      <c r="U703"/>
      <c r="V703"/>
      <c r="W703"/>
      <c r="X703"/>
    </row>
    <row r="704" spans="1:24" ht="33.75" x14ac:dyDescent="0.2">
      <c r="A704" s="18">
        <v>697</v>
      </c>
      <c r="B704" s="21" t="s">
        <v>873</v>
      </c>
      <c r="C704" s="5" t="s">
        <v>909</v>
      </c>
      <c r="D704" s="13">
        <v>142</v>
      </c>
      <c r="E704" s="21" t="s">
        <v>874</v>
      </c>
      <c r="F704" s="15" t="s">
        <v>42</v>
      </c>
      <c r="G704" s="20">
        <v>15</v>
      </c>
      <c r="H704" s="24">
        <f>590/1.12</f>
        <v>526.78571428571422</v>
      </c>
      <c r="I704" s="23">
        <f t="shared" si="12"/>
        <v>7901.7857142857138</v>
      </c>
      <c r="J704" s="12" t="s">
        <v>43</v>
      </c>
      <c r="K704" s="12" t="s">
        <v>41</v>
      </c>
      <c r="L704" s="6"/>
      <c r="M704" s="6"/>
      <c r="N704" s="6"/>
      <c r="O704" s="6"/>
      <c r="P704" s="6"/>
      <c r="Q704" s="6"/>
      <c r="R704" s="6"/>
      <c r="S704" s="6"/>
      <c r="T704" s="6"/>
      <c r="U704"/>
      <c r="V704"/>
      <c r="W704"/>
      <c r="X704"/>
    </row>
    <row r="705" spans="1:24" ht="33.75" x14ac:dyDescent="0.2">
      <c r="A705" s="18">
        <v>698</v>
      </c>
      <c r="B705" s="21" t="s">
        <v>875</v>
      </c>
      <c r="C705" s="5" t="s">
        <v>909</v>
      </c>
      <c r="D705" s="13">
        <v>142</v>
      </c>
      <c r="E705" s="21" t="s">
        <v>874</v>
      </c>
      <c r="F705" s="15" t="s">
        <v>42</v>
      </c>
      <c r="G705" s="20">
        <v>90</v>
      </c>
      <c r="H705" s="24">
        <f>273/1.12</f>
        <v>243.74999999999997</v>
      </c>
      <c r="I705" s="23">
        <f t="shared" si="12"/>
        <v>21937.499999999996</v>
      </c>
      <c r="J705" s="12" t="s">
        <v>43</v>
      </c>
      <c r="K705" s="12" t="s">
        <v>41</v>
      </c>
      <c r="L705" s="6"/>
      <c r="M705" s="6"/>
      <c r="N705" s="6"/>
      <c r="O705" s="6"/>
      <c r="P705" s="6"/>
      <c r="Q705" s="6"/>
      <c r="R705" s="6"/>
      <c r="S705" s="6"/>
      <c r="T705" s="6"/>
      <c r="U705"/>
      <c r="V705"/>
      <c r="W705"/>
      <c r="X705"/>
    </row>
    <row r="706" spans="1:24" ht="33.75" x14ac:dyDescent="0.2">
      <c r="A706" s="18">
        <v>699</v>
      </c>
      <c r="B706" s="21" t="s">
        <v>876</v>
      </c>
      <c r="C706" s="5" t="s">
        <v>909</v>
      </c>
      <c r="D706" s="13">
        <v>142</v>
      </c>
      <c r="E706" s="21" t="s">
        <v>870</v>
      </c>
      <c r="F706" s="15" t="s">
        <v>42</v>
      </c>
      <c r="G706" s="20">
        <v>90</v>
      </c>
      <c r="H706" s="24">
        <f>4754/1.12</f>
        <v>4244.6428571428569</v>
      </c>
      <c r="I706" s="23">
        <f t="shared" si="12"/>
        <v>382017.8571428571</v>
      </c>
      <c r="J706" s="12" t="s">
        <v>43</v>
      </c>
      <c r="K706" s="12" t="s">
        <v>41</v>
      </c>
      <c r="L706" s="6"/>
      <c r="M706" s="6"/>
      <c r="N706" s="6"/>
      <c r="O706" s="6"/>
      <c r="P706" s="6"/>
      <c r="Q706" s="6"/>
      <c r="R706" s="6"/>
      <c r="S706" s="6"/>
      <c r="T706" s="6"/>
      <c r="U706"/>
      <c r="V706"/>
      <c r="W706"/>
      <c r="X706"/>
    </row>
    <row r="707" spans="1:24" ht="33.75" x14ac:dyDescent="0.2">
      <c r="A707" s="18">
        <v>700</v>
      </c>
      <c r="B707" s="21" t="s">
        <v>877</v>
      </c>
      <c r="C707" s="5" t="s">
        <v>909</v>
      </c>
      <c r="D707" s="13">
        <v>142</v>
      </c>
      <c r="E707" s="21" t="s">
        <v>878</v>
      </c>
      <c r="F707" s="15" t="s">
        <v>879</v>
      </c>
      <c r="G707" s="20">
        <v>300</v>
      </c>
      <c r="H707" s="24">
        <f>50/1.12</f>
        <v>44.642857142857139</v>
      </c>
      <c r="I707" s="23">
        <f t="shared" si="12"/>
        <v>13392.857142857141</v>
      </c>
      <c r="J707" s="12" t="s">
        <v>43</v>
      </c>
      <c r="K707" s="12" t="s">
        <v>41</v>
      </c>
      <c r="L707" s="6"/>
      <c r="M707" s="6"/>
      <c r="N707" s="6"/>
      <c r="O707" s="6"/>
      <c r="P707" s="6"/>
      <c r="Q707" s="6"/>
      <c r="R707" s="6"/>
      <c r="S707" s="6"/>
      <c r="T707" s="6"/>
      <c r="U707"/>
      <c r="V707"/>
      <c r="W707"/>
      <c r="X707"/>
    </row>
    <row r="708" spans="1:24" ht="33.75" x14ac:dyDescent="0.2">
      <c r="A708" s="18">
        <v>701</v>
      </c>
      <c r="B708" s="21" t="s">
        <v>880</v>
      </c>
      <c r="C708" s="5" t="s">
        <v>909</v>
      </c>
      <c r="D708" s="13">
        <v>142</v>
      </c>
      <c r="E708" s="21" t="s">
        <v>881</v>
      </c>
      <c r="F708" s="15" t="s">
        <v>42</v>
      </c>
      <c r="G708" s="20">
        <v>150</v>
      </c>
      <c r="H708" s="24">
        <f>420/1.12</f>
        <v>374.99999999999994</v>
      </c>
      <c r="I708" s="23">
        <f t="shared" si="12"/>
        <v>56249.999999999993</v>
      </c>
      <c r="J708" s="12" t="s">
        <v>43</v>
      </c>
      <c r="K708" s="12" t="s">
        <v>41</v>
      </c>
      <c r="L708" s="6"/>
      <c r="M708" s="6"/>
      <c r="N708" s="6"/>
      <c r="O708" s="6"/>
      <c r="P708" s="6"/>
      <c r="Q708" s="6"/>
      <c r="R708" s="6"/>
      <c r="S708" s="6"/>
      <c r="T708" s="6"/>
      <c r="U708"/>
      <c r="V708"/>
      <c r="W708"/>
      <c r="X708"/>
    </row>
    <row r="709" spans="1:24" ht="33.75" x14ac:dyDescent="0.2">
      <c r="A709" s="18">
        <v>702</v>
      </c>
      <c r="B709" s="21" t="s">
        <v>882</v>
      </c>
      <c r="C709" s="5" t="s">
        <v>909</v>
      </c>
      <c r="D709" s="13">
        <v>142</v>
      </c>
      <c r="E709" s="21" t="s">
        <v>882</v>
      </c>
      <c r="F709" s="15" t="s">
        <v>42</v>
      </c>
      <c r="G709" s="20">
        <v>200</v>
      </c>
      <c r="H709" s="24">
        <f>300/1.12</f>
        <v>267.85714285714283</v>
      </c>
      <c r="I709" s="23">
        <f t="shared" si="12"/>
        <v>53571.428571428565</v>
      </c>
      <c r="J709" s="12" t="s">
        <v>43</v>
      </c>
      <c r="K709" s="12" t="s">
        <v>41</v>
      </c>
      <c r="L709" s="6"/>
      <c r="M709" s="6"/>
      <c r="N709" s="6"/>
      <c r="O709" s="6"/>
      <c r="P709" s="6"/>
      <c r="Q709" s="6"/>
      <c r="R709" s="6"/>
      <c r="S709" s="6"/>
      <c r="T709" s="6"/>
      <c r="U709"/>
      <c r="V709"/>
      <c r="W709"/>
      <c r="X709"/>
    </row>
    <row r="710" spans="1:24" ht="33.75" x14ac:dyDescent="0.2">
      <c r="A710" s="18">
        <v>703</v>
      </c>
      <c r="B710" s="21" t="s">
        <v>883</v>
      </c>
      <c r="C710" s="5" t="s">
        <v>909</v>
      </c>
      <c r="D710" s="13">
        <v>142</v>
      </c>
      <c r="E710" s="21" t="s">
        <v>884</v>
      </c>
      <c r="F710" s="15" t="s">
        <v>42</v>
      </c>
      <c r="G710" s="20">
        <v>250</v>
      </c>
      <c r="H710" s="24">
        <f>200/1.12</f>
        <v>178.57142857142856</v>
      </c>
      <c r="I710" s="23">
        <f t="shared" si="12"/>
        <v>44642.857142857138</v>
      </c>
      <c r="J710" s="12" t="s">
        <v>43</v>
      </c>
      <c r="K710" s="12" t="s">
        <v>41</v>
      </c>
      <c r="L710" s="6"/>
      <c r="M710" s="6"/>
      <c r="N710" s="6"/>
      <c r="O710" s="6"/>
      <c r="P710" s="6"/>
      <c r="Q710" s="6"/>
      <c r="R710" s="6"/>
      <c r="S710" s="6"/>
      <c r="T710" s="6"/>
      <c r="U710"/>
      <c r="V710"/>
      <c r="W710"/>
      <c r="X710"/>
    </row>
    <row r="711" spans="1:24" ht="33.75" x14ac:dyDescent="0.2">
      <c r="A711" s="18">
        <v>704</v>
      </c>
      <c r="B711" s="21" t="s">
        <v>885</v>
      </c>
      <c r="C711" s="5" t="s">
        <v>909</v>
      </c>
      <c r="D711" s="13">
        <v>142</v>
      </c>
      <c r="E711" s="21" t="s">
        <v>886</v>
      </c>
      <c r="F711" s="15" t="s">
        <v>42</v>
      </c>
      <c r="G711" s="20">
        <v>50</v>
      </c>
      <c r="H711" s="24">
        <f>260/1.12</f>
        <v>232.14285714285711</v>
      </c>
      <c r="I711" s="23">
        <f t="shared" si="12"/>
        <v>11607.142857142855</v>
      </c>
      <c r="J711" s="12" t="s">
        <v>43</v>
      </c>
      <c r="K711" s="12" t="s">
        <v>41</v>
      </c>
      <c r="L711" s="6"/>
      <c r="M711" s="6"/>
      <c r="N711" s="6"/>
      <c r="O711" s="6"/>
      <c r="P711" s="6"/>
      <c r="Q711" s="6"/>
      <c r="R711" s="6"/>
      <c r="S711" s="6"/>
      <c r="T711" s="6"/>
      <c r="U711"/>
      <c r="V711"/>
      <c r="W711"/>
      <c r="X711"/>
    </row>
    <row r="712" spans="1:24" ht="33.75" x14ac:dyDescent="0.2">
      <c r="A712" s="18">
        <v>705</v>
      </c>
      <c r="B712" s="21" t="s">
        <v>887</v>
      </c>
      <c r="C712" s="5" t="s">
        <v>909</v>
      </c>
      <c r="D712" s="13">
        <v>142</v>
      </c>
      <c r="E712" s="21" t="s">
        <v>887</v>
      </c>
      <c r="F712" s="15" t="s">
        <v>678</v>
      </c>
      <c r="G712" s="20">
        <v>10</v>
      </c>
      <c r="H712" s="24">
        <f>1200/1.12</f>
        <v>1071.4285714285713</v>
      </c>
      <c r="I712" s="23">
        <f t="shared" si="12"/>
        <v>10714.285714285714</v>
      </c>
      <c r="J712" s="12" t="s">
        <v>43</v>
      </c>
      <c r="K712" s="12" t="s">
        <v>41</v>
      </c>
      <c r="L712" s="6"/>
      <c r="M712" s="6"/>
      <c r="N712" s="6"/>
      <c r="O712" s="6"/>
      <c r="P712" s="6"/>
      <c r="Q712" s="6"/>
      <c r="R712" s="6"/>
      <c r="S712" s="6"/>
      <c r="T712" s="6"/>
      <c r="U712"/>
      <c r="V712"/>
      <c r="W712"/>
      <c r="X712"/>
    </row>
    <row r="713" spans="1:24" ht="33.75" x14ac:dyDescent="0.2">
      <c r="A713" s="18">
        <v>706</v>
      </c>
      <c r="B713" s="21" t="s">
        <v>888</v>
      </c>
      <c r="C713" s="5" t="s">
        <v>909</v>
      </c>
      <c r="D713" s="13">
        <v>142</v>
      </c>
      <c r="E713" s="21" t="s">
        <v>888</v>
      </c>
      <c r="F713" s="15" t="s">
        <v>42</v>
      </c>
      <c r="G713" s="20">
        <v>15</v>
      </c>
      <c r="H713" s="24">
        <f>600/1.12</f>
        <v>535.71428571428567</v>
      </c>
      <c r="I713" s="23">
        <f t="shared" si="12"/>
        <v>8035.7142857142853</v>
      </c>
      <c r="J713" s="12" t="s">
        <v>43</v>
      </c>
      <c r="K713" s="12" t="s">
        <v>41</v>
      </c>
      <c r="L713" s="6"/>
      <c r="M713" s="6"/>
      <c r="N713" s="6"/>
      <c r="O713" s="6"/>
      <c r="P713" s="6"/>
      <c r="Q713" s="6"/>
      <c r="R713" s="6"/>
      <c r="S713" s="6"/>
      <c r="T713" s="6"/>
      <c r="U713"/>
      <c r="V713"/>
      <c r="W713"/>
      <c r="X713"/>
    </row>
    <row r="714" spans="1:24" ht="33.75" x14ac:dyDescent="0.2">
      <c r="A714" s="18">
        <v>707</v>
      </c>
      <c r="B714" s="21" t="s">
        <v>889</v>
      </c>
      <c r="C714" s="5" t="s">
        <v>909</v>
      </c>
      <c r="D714" s="13">
        <v>142</v>
      </c>
      <c r="E714" s="21" t="s">
        <v>889</v>
      </c>
      <c r="F714" s="15" t="s">
        <v>42</v>
      </c>
      <c r="G714" s="20">
        <v>4</v>
      </c>
      <c r="H714" s="24">
        <f>1500/1.12</f>
        <v>1339.2857142857142</v>
      </c>
      <c r="I714" s="23">
        <f t="shared" si="12"/>
        <v>5357.1428571428569</v>
      </c>
      <c r="J714" s="12" t="s">
        <v>43</v>
      </c>
      <c r="K714" s="12" t="s">
        <v>41</v>
      </c>
      <c r="L714" s="6"/>
      <c r="M714" s="6"/>
      <c r="N714" s="6"/>
      <c r="O714" s="6"/>
      <c r="P714" s="6"/>
      <c r="Q714" s="6"/>
      <c r="R714" s="6"/>
      <c r="S714" s="6"/>
      <c r="T714" s="6"/>
      <c r="U714"/>
      <c r="V714"/>
      <c r="W714"/>
      <c r="X714"/>
    </row>
    <row r="715" spans="1:24" ht="33.75" x14ac:dyDescent="0.2">
      <c r="A715" s="18">
        <v>708</v>
      </c>
      <c r="B715" s="21" t="s">
        <v>890</v>
      </c>
      <c r="C715" s="5" t="s">
        <v>909</v>
      </c>
      <c r="D715" s="13">
        <v>142</v>
      </c>
      <c r="E715" s="21" t="s">
        <v>890</v>
      </c>
      <c r="F715" s="15" t="s">
        <v>42</v>
      </c>
      <c r="G715" s="20">
        <v>4</v>
      </c>
      <c r="H715" s="24">
        <f>2320/1.12</f>
        <v>2071.4285714285711</v>
      </c>
      <c r="I715" s="23">
        <f t="shared" si="12"/>
        <v>8285.7142857142844</v>
      </c>
      <c r="J715" s="12" t="s">
        <v>43</v>
      </c>
      <c r="K715" s="12" t="s">
        <v>41</v>
      </c>
      <c r="L715" s="6"/>
      <c r="M715" s="6"/>
      <c r="N715" s="6"/>
      <c r="O715" s="6"/>
      <c r="P715" s="6"/>
      <c r="Q715" s="6"/>
      <c r="R715" s="6"/>
      <c r="S715" s="6"/>
      <c r="T715" s="6"/>
      <c r="U715"/>
      <c r="V715"/>
      <c r="W715"/>
      <c r="X715"/>
    </row>
    <row r="716" spans="1:24" ht="33.75" x14ac:dyDescent="0.2">
      <c r="A716" s="18">
        <v>709</v>
      </c>
      <c r="B716" s="21" t="s">
        <v>891</v>
      </c>
      <c r="C716" s="5" t="s">
        <v>909</v>
      </c>
      <c r="D716" s="13">
        <v>142</v>
      </c>
      <c r="E716" s="21" t="s">
        <v>892</v>
      </c>
      <c r="F716" s="15" t="s">
        <v>42</v>
      </c>
      <c r="G716" s="20">
        <v>6</v>
      </c>
      <c r="H716" s="24">
        <f>5600/1.12</f>
        <v>4999.9999999999991</v>
      </c>
      <c r="I716" s="23">
        <f t="shared" si="12"/>
        <v>29999.999999999993</v>
      </c>
      <c r="J716" s="12" t="s">
        <v>43</v>
      </c>
      <c r="K716" s="12" t="s">
        <v>41</v>
      </c>
      <c r="L716" s="6"/>
      <c r="M716" s="6"/>
      <c r="N716" s="6"/>
      <c r="O716" s="6"/>
      <c r="P716" s="6"/>
      <c r="Q716" s="6"/>
      <c r="R716" s="6"/>
      <c r="S716" s="6"/>
      <c r="T716" s="6"/>
      <c r="U716"/>
      <c r="V716"/>
      <c r="W716"/>
      <c r="X716"/>
    </row>
    <row r="717" spans="1:24" ht="33.75" x14ac:dyDescent="0.2">
      <c r="A717" s="18">
        <v>710</v>
      </c>
      <c r="B717" s="21" t="s">
        <v>893</v>
      </c>
      <c r="C717" s="5" t="s">
        <v>909</v>
      </c>
      <c r="D717" s="13">
        <v>142</v>
      </c>
      <c r="E717" s="21" t="s">
        <v>894</v>
      </c>
      <c r="F717" s="15" t="s">
        <v>42</v>
      </c>
      <c r="G717" s="20">
        <v>80</v>
      </c>
      <c r="H717" s="24">
        <f>360/1.12</f>
        <v>321.42857142857139</v>
      </c>
      <c r="I717" s="23">
        <f t="shared" si="12"/>
        <v>25714.28571428571</v>
      </c>
      <c r="J717" s="12" t="s">
        <v>43</v>
      </c>
      <c r="K717" s="12" t="s">
        <v>41</v>
      </c>
      <c r="L717" s="6"/>
      <c r="M717" s="6"/>
      <c r="N717" s="6"/>
      <c r="O717" s="6"/>
      <c r="P717" s="6"/>
      <c r="Q717" s="6"/>
      <c r="R717" s="6"/>
      <c r="S717" s="6"/>
      <c r="T717" s="6"/>
      <c r="U717"/>
      <c r="V717"/>
      <c r="W717"/>
      <c r="X717"/>
    </row>
    <row r="718" spans="1:24" ht="33.75" x14ac:dyDescent="0.2">
      <c r="A718" s="18">
        <v>711</v>
      </c>
      <c r="B718" s="21" t="s">
        <v>895</v>
      </c>
      <c r="C718" s="5" t="s">
        <v>909</v>
      </c>
      <c r="D718" s="13">
        <v>142</v>
      </c>
      <c r="E718" s="21" t="s">
        <v>896</v>
      </c>
      <c r="F718" s="15" t="s">
        <v>42</v>
      </c>
      <c r="G718" s="20">
        <v>240</v>
      </c>
      <c r="H718" s="24">
        <f>450/1.12</f>
        <v>401.78571428571422</v>
      </c>
      <c r="I718" s="23">
        <f t="shared" si="12"/>
        <v>96428.57142857142</v>
      </c>
      <c r="J718" s="12" t="s">
        <v>43</v>
      </c>
      <c r="K718" s="12" t="s">
        <v>41</v>
      </c>
      <c r="L718" s="6"/>
      <c r="M718" s="6"/>
      <c r="N718" s="6"/>
      <c r="O718" s="6"/>
      <c r="P718" s="6"/>
      <c r="Q718" s="6"/>
      <c r="R718" s="6"/>
      <c r="S718" s="6"/>
      <c r="T718" s="6"/>
      <c r="U718"/>
      <c r="V718"/>
      <c r="W718"/>
      <c r="X718"/>
    </row>
    <row r="719" spans="1:24" ht="33.75" x14ac:dyDescent="0.2">
      <c r="A719" s="18">
        <v>712</v>
      </c>
      <c r="B719" s="21" t="s">
        <v>897</v>
      </c>
      <c r="C719" s="5" t="s">
        <v>909</v>
      </c>
      <c r="D719" s="13">
        <v>142</v>
      </c>
      <c r="E719" s="21" t="s">
        <v>898</v>
      </c>
      <c r="F719" s="15" t="s">
        <v>678</v>
      </c>
      <c r="G719" s="20">
        <v>4</v>
      </c>
      <c r="H719" s="24">
        <f>450/1.12</f>
        <v>401.78571428571422</v>
      </c>
      <c r="I719" s="23">
        <f t="shared" si="12"/>
        <v>1607.1428571428569</v>
      </c>
      <c r="J719" s="12" t="s">
        <v>43</v>
      </c>
      <c r="K719" s="12" t="s">
        <v>41</v>
      </c>
      <c r="L719" s="6"/>
      <c r="M719" s="6"/>
      <c r="N719" s="6"/>
      <c r="O719" s="6"/>
      <c r="P719" s="6"/>
      <c r="Q719" s="6"/>
      <c r="R719" s="6"/>
      <c r="S719" s="6"/>
      <c r="T719" s="6"/>
      <c r="U719"/>
      <c r="V719"/>
      <c r="W719"/>
      <c r="X719"/>
    </row>
    <row r="720" spans="1:24" ht="33.75" x14ac:dyDescent="0.2">
      <c r="A720" s="18">
        <v>713</v>
      </c>
      <c r="B720" s="21" t="s">
        <v>899</v>
      </c>
      <c r="C720" s="5" t="s">
        <v>909</v>
      </c>
      <c r="D720" s="13">
        <v>142</v>
      </c>
      <c r="E720" s="21" t="s">
        <v>899</v>
      </c>
      <c r="F720" s="15" t="s">
        <v>42</v>
      </c>
      <c r="G720" s="20">
        <v>60</v>
      </c>
      <c r="H720" s="24">
        <f>230/1.12</f>
        <v>205.35714285714283</v>
      </c>
      <c r="I720" s="23">
        <f t="shared" si="12"/>
        <v>12321.428571428571</v>
      </c>
      <c r="J720" s="12" t="s">
        <v>43</v>
      </c>
      <c r="K720" s="12" t="s">
        <v>41</v>
      </c>
      <c r="L720" s="6"/>
      <c r="M720" s="6"/>
      <c r="N720" s="6"/>
      <c r="O720" s="6"/>
      <c r="P720" s="6"/>
      <c r="Q720" s="6"/>
      <c r="R720" s="6"/>
      <c r="S720" s="6"/>
      <c r="T720" s="6"/>
      <c r="U720"/>
      <c r="V720"/>
      <c r="W720"/>
      <c r="X720"/>
    </row>
    <row r="721" spans="1:111" ht="33.75" x14ac:dyDescent="0.2">
      <c r="A721" s="18">
        <v>714</v>
      </c>
      <c r="B721" s="21" t="s">
        <v>900</v>
      </c>
      <c r="C721" s="5" t="s">
        <v>909</v>
      </c>
      <c r="D721" s="13">
        <v>142</v>
      </c>
      <c r="E721" s="21" t="s">
        <v>901</v>
      </c>
      <c r="F721" s="15" t="s">
        <v>42</v>
      </c>
      <c r="G721" s="20">
        <v>900</v>
      </c>
      <c r="H721" s="24">
        <f>120/1.12</f>
        <v>107.14285714285714</v>
      </c>
      <c r="I721" s="23">
        <f t="shared" si="12"/>
        <v>96428.57142857142</v>
      </c>
      <c r="J721" s="12" t="s">
        <v>43</v>
      </c>
      <c r="K721" s="12" t="s">
        <v>41</v>
      </c>
      <c r="L721" s="6"/>
      <c r="M721" s="6"/>
      <c r="N721" s="6"/>
      <c r="O721" s="6"/>
      <c r="P721" s="6"/>
      <c r="Q721" s="6"/>
      <c r="R721" s="6"/>
      <c r="S721" s="6"/>
      <c r="T721" s="6"/>
      <c r="U721"/>
      <c r="V721"/>
      <c r="W721"/>
      <c r="X721"/>
    </row>
    <row r="722" spans="1:111" x14ac:dyDescent="0.2">
      <c r="A722" s="33"/>
      <c r="B722" s="30" t="s">
        <v>703</v>
      </c>
      <c r="C722" s="26"/>
      <c r="D722" s="5"/>
      <c r="E722" s="26"/>
      <c r="F722" s="37"/>
      <c r="G722" s="38"/>
      <c r="H722" s="38"/>
      <c r="I722" s="43">
        <f>SUM(I10:I721)</f>
        <v>248800998.16904557</v>
      </c>
      <c r="J722" s="29"/>
      <c r="K722" s="34"/>
      <c r="L722" s="6"/>
      <c r="M722" s="6"/>
      <c r="N722" s="6"/>
      <c r="O722" s="6"/>
      <c r="P722" s="6"/>
      <c r="Q722" s="6"/>
      <c r="R722" s="6"/>
      <c r="S722" s="6"/>
      <c r="T722" s="6"/>
      <c r="U722"/>
      <c r="V722"/>
      <c r="W722"/>
      <c r="X722"/>
    </row>
    <row r="723" spans="1:111" s="4" customFormat="1" x14ac:dyDescent="0.2">
      <c r="A723" s="45"/>
      <c r="B723" s="52"/>
      <c r="C723" s="52"/>
      <c r="D723" s="53"/>
      <c r="E723" s="52"/>
      <c r="F723" s="54"/>
      <c r="G723" s="54"/>
      <c r="H723" s="54"/>
      <c r="I723" s="55"/>
      <c r="J723" s="56"/>
      <c r="K723" s="54"/>
      <c r="L723" s="6"/>
      <c r="M723" s="6"/>
      <c r="N723" s="6"/>
      <c r="O723" s="6"/>
      <c r="P723" s="6"/>
      <c r="Q723" s="6"/>
      <c r="R723" s="6"/>
      <c r="S723" s="6"/>
      <c r="T723" s="6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</row>
    <row r="724" spans="1:111" s="4" customFormat="1" ht="13.5" x14ac:dyDescent="0.25">
      <c r="A724" s="45"/>
      <c r="B724" s="57" t="s">
        <v>913</v>
      </c>
      <c r="C724" s="52"/>
      <c r="D724" s="53"/>
      <c r="E724" s="52"/>
      <c r="F724" s="54"/>
      <c r="G724" s="54"/>
      <c r="H724" s="54"/>
      <c r="I724" s="55"/>
      <c r="J724" s="56"/>
      <c r="K724" s="54"/>
      <c r="L724" s="6"/>
      <c r="M724" s="6"/>
      <c r="N724" s="6"/>
      <c r="O724" s="6"/>
      <c r="P724" s="6"/>
      <c r="Q724" s="6"/>
      <c r="R724" s="6"/>
      <c r="S724" s="6"/>
      <c r="T724" s="6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</row>
    <row r="725" spans="1:111" s="4" customFormat="1" ht="13.5" x14ac:dyDescent="0.25">
      <c r="A725" s="45"/>
      <c r="B725" s="57"/>
      <c r="C725" s="52"/>
      <c r="D725" s="53"/>
      <c r="E725" s="52"/>
      <c r="F725" s="54"/>
      <c r="G725" s="54"/>
      <c r="H725" s="54"/>
      <c r="I725" s="55"/>
      <c r="J725" s="56"/>
      <c r="K725" s="54"/>
      <c r="L725" s="6"/>
      <c r="M725" s="6"/>
      <c r="N725" s="6"/>
      <c r="O725" s="6"/>
      <c r="P725" s="6"/>
      <c r="Q725" s="6"/>
      <c r="R725" s="6"/>
      <c r="S725" s="6"/>
      <c r="T725" s="6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</row>
    <row r="726" spans="1:111" ht="27" x14ac:dyDescent="0.25">
      <c r="A726" s="45"/>
      <c r="B726" s="57" t="s">
        <v>914</v>
      </c>
      <c r="C726" s="52"/>
      <c r="D726" s="53"/>
      <c r="E726" s="52"/>
      <c r="F726" s="54"/>
      <c r="G726" s="54"/>
      <c r="H726" s="54"/>
      <c r="I726" s="55"/>
      <c r="J726" s="56"/>
      <c r="K726" s="54"/>
      <c r="L726" s="6"/>
      <c r="M726" s="6"/>
      <c r="N726" s="6"/>
      <c r="O726" s="6"/>
      <c r="P726" s="6"/>
      <c r="Q726" s="6"/>
      <c r="R726" s="6"/>
      <c r="S726" s="6"/>
      <c r="T726" s="6"/>
      <c r="U726"/>
      <c r="V726"/>
      <c r="W726"/>
      <c r="X726"/>
    </row>
    <row r="727" spans="1:111" x14ac:dyDescent="0.2">
      <c r="A727" s="44"/>
      <c r="B727" s="44"/>
      <c r="C727" s="44"/>
      <c r="D727" s="44"/>
      <c r="E727" s="44"/>
      <c r="F727" s="58"/>
      <c r="G727" s="32"/>
      <c r="H727" s="58"/>
      <c r="I727" s="58"/>
      <c r="J727" s="59"/>
      <c r="K727" s="58"/>
      <c r="L727" s="6"/>
      <c r="M727" s="6"/>
      <c r="N727" s="6"/>
      <c r="O727" s="6"/>
      <c r="P727" s="6"/>
      <c r="Q727" s="6"/>
      <c r="R727" s="6"/>
      <c r="S727" s="6"/>
      <c r="T727" s="6"/>
      <c r="U727"/>
      <c r="V727"/>
      <c r="W727"/>
      <c r="X727"/>
    </row>
    <row r="728" spans="1:111" x14ac:dyDescent="0.2">
      <c r="A728" s="44"/>
      <c r="B728" s="44"/>
      <c r="C728" s="44"/>
      <c r="D728" s="44"/>
      <c r="E728" s="44"/>
      <c r="F728" s="58"/>
      <c r="G728" s="32"/>
      <c r="H728" s="58"/>
      <c r="I728" s="58"/>
      <c r="J728" s="59"/>
      <c r="K728" s="58"/>
      <c r="L728" s="6"/>
      <c r="M728" s="6"/>
      <c r="N728" s="6"/>
      <c r="O728" s="6"/>
      <c r="P728" s="6"/>
      <c r="Q728" s="6"/>
      <c r="R728" s="6"/>
      <c r="S728" s="6"/>
      <c r="T728" s="6"/>
      <c r="U728"/>
      <c r="V728"/>
      <c r="W728"/>
      <c r="X728"/>
    </row>
    <row r="729" spans="1:111" x14ac:dyDescent="0.2">
      <c r="A729" s="44"/>
      <c r="B729" s="44"/>
      <c r="C729" s="44"/>
      <c r="D729" s="44"/>
      <c r="E729" s="44"/>
      <c r="F729" s="58"/>
      <c r="G729" s="32"/>
      <c r="H729" s="58"/>
      <c r="I729" s="58"/>
      <c r="J729" s="59"/>
      <c r="K729" s="58"/>
      <c r="L729" s="6"/>
      <c r="M729" s="6"/>
      <c r="N729" s="6"/>
      <c r="O729" s="6"/>
      <c r="P729" s="6"/>
      <c r="Q729" s="6"/>
      <c r="R729" s="6"/>
      <c r="S729" s="6"/>
      <c r="T729" s="6"/>
      <c r="U729"/>
      <c r="V729"/>
      <c r="W729"/>
      <c r="X729"/>
    </row>
    <row r="730" spans="1:111" x14ac:dyDescent="0.2">
      <c r="A730" s="44"/>
      <c r="B730" s="44"/>
      <c r="C730" s="44"/>
      <c r="D730" s="44"/>
      <c r="E730" s="44"/>
      <c r="F730" s="58"/>
      <c r="G730" s="32"/>
      <c r="H730" s="58"/>
      <c r="I730" s="58"/>
      <c r="J730" s="59"/>
      <c r="K730" s="58"/>
      <c r="L730" s="6"/>
      <c r="M730" s="6"/>
      <c r="N730" s="6"/>
      <c r="O730" s="6"/>
      <c r="P730" s="6"/>
      <c r="Q730" s="6"/>
      <c r="R730" s="6"/>
      <c r="S730" s="6"/>
      <c r="T730" s="6"/>
      <c r="U730"/>
      <c r="V730"/>
      <c r="W730"/>
      <c r="X730"/>
    </row>
    <row r="731" spans="1:111" x14ac:dyDescent="0.2">
      <c r="A731" s="44"/>
      <c r="B731" s="44"/>
      <c r="C731" s="44"/>
      <c r="D731" s="44"/>
      <c r="E731" s="44"/>
      <c r="F731" s="58"/>
      <c r="G731" s="32"/>
      <c r="H731" s="58"/>
      <c r="I731" s="58"/>
      <c r="J731" s="59"/>
      <c r="K731" s="58"/>
      <c r="L731" s="6"/>
      <c r="M731" s="6"/>
      <c r="N731" s="6"/>
      <c r="O731" s="6"/>
      <c r="P731" s="6"/>
      <c r="Q731" s="6"/>
      <c r="R731" s="6"/>
      <c r="S731" s="6"/>
      <c r="T731" s="6"/>
      <c r="U731"/>
      <c r="V731"/>
      <c r="W731"/>
      <c r="X731"/>
    </row>
    <row r="732" spans="1:111" x14ac:dyDescent="0.2">
      <c r="A732" s="44"/>
      <c r="B732" s="44"/>
      <c r="C732" s="44"/>
      <c r="D732" s="44"/>
      <c r="E732" s="44"/>
      <c r="F732" s="58"/>
      <c r="G732" s="32"/>
      <c r="H732" s="58"/>
      <c r="I732" s="58"/>
      <c r="J732" s="59"/>
      <c r="K732" s="58"/>
      <c r="L732" s="6"/>
      <c r="M732" s="6"/>
      <c r="N732" s="6"/>
      <c r="O732" s="6"/>
      <c r="P732" s="6"/>
      <c r="Q732" s="6"/>
      <c r="R732" s="6"/>
      <c r="S732" s="6"/>
      <c r="T732" s="6"/>
      <c r="U732"/>
      <c r="V732"/>
      <c r="W732"/>
      <c r="X732"/>
    </row>
    <row r="733" spans="1:111" s="2" customFormat="1" x14ac:dyDescent="0.2">
      <c r="A733" s="44"/>
      <c r="B733" s="44"/>
      <c r="C733" s="44"/>
      <c r="D733" s="44"/>
      <c r="E733" s="44"/>
      <c r="F733" s="58"/>
      <c r="G733" s="32"/>
      <c r="H733" s="58"/>
      <c r="I733" s="58"/>
      <c r="J733" s="59"/>
      <c r="K733" s="58"/>
      <c r="L733" s="6"/>
      <c r="M733" s="6"/>
      <c r="N733" s="6"/>
      <c r="O733" s="6"/>
      <c r="P733" s="6"/>
      <c r="Q733" s="6"/>
      <c r="R733" s="6"/>
      <c r="S733" s="6"/>
      <c r="T733" s="6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</row>
    <row r="734" spans="1:111" x14ac:dyDescent="0.2">
      <c r="A734" s="44"/>
      <c r="B734" s="44"/>
      <c r="C734" s="44"/>
      <c r="D734" s="44"/>
      <c r="E734" s="44"/>
      <c r="F734" s="58"/>
      <c r="G734" s="32"/>
      <c r="H734" s="58"/>
      <c r="I734" s="58"/>
      <c r="J734" s="59"/>
      <c r="K734" s="58"/>
      <c r="L734" s="6"/>
      <c r="M734" s="6"/>
      <c r="N734" s="6"/>
      <c r="O734" s="6"/>
      <c r="P734" s="6"/>
      <c r="Q734" s="6"/>
      <c r="R734" s="6"/>
      <c r="S734" s="6"/>
      <c r="T734" s="6"/>
      <c r="U734"/>
      <c r="V734"/>
      <c r="W734"/>
      <c r="X734"/>
    </row>
    <row r="735" spans="1:111" x14ac:dyDescent="0.2">
      <c r="A735" s="44"/>
      <c r="B735" s="44"/>
      <c r="C735" s="44"/>
      <c r="D735" s="44"/>
      <c r="E735" s="44"/>
      <c r="F735" s="58"/>
      <c r="G735" s="32"/>
      <c r="H735" s="58"/>
      <c r="I735" s="58"/>
      <c r="J735" s="59"/>
      <c r="K735" s="58"/>
      <c r="L735" s="6"/>
      <c r="M735" s="6"/>
      <c r="N735" s="6"/>
      <c r="O735" s="6"/>
      <c r="P735" s="6"/>
      <c r="Q735" s="6"/>
      <c r="R735" s="6"/>
      <c r="S735" s="6"/>
      <c r="T735" s="6"/>
      <c r="U735"/>
      <c r="V735"/>
      <c r="W735"/>
      <c r="X735"/>
    </row>
    <row r="736" spans="1:111" x14ac:dyDescent="0.2">
      <c r="A736" s="44"/>
      <c r="B736" s="44"/>
      <c r="C736" s="44"/>
      <c r="D736" s="44"/>
      <c r="E736" s="44"/>
      <c r="F736" s="58"/>
      <c r="G736" s="32"/>
      <c r="H736" s="58"/>
      <c r="I736" s="58"/>
      <c r="J736" s="59"/>
      <c r="K736" s="58"/>
      <c r="L736" s="6"/>
      <c r="M736" s="6"/>
      <c r="N736" s="6"/>
      <c r="O736" s="6"/>
      <c r="P736" s="6"/>
      <c r="Q736" s="6"/>
      <c r="R736" s="6"/>
      <c r="S736" s="6"/>
      <c r="T736" s="6"/>
      <c r="U736"/>
      <c r="V736"/>
      <c r="W736"/>
      <c r="X736"/>
    </row>
    <row r="737" spans="1:111" x14ac:dyDescent="0.2">
      <c r="A737" s="44"/>
      <c r="B737" s="44"/>
      <c r="C737" s="44"/>
      <c r="D737" s="44"/>
      <c r="E737" s="44"/>
      <c r="F737" s="58"/>
      <c r="G737" s="32"/>
      <c r="H737" s="58"/>
      <c r="I737" s="58"/>
      <c r="J737" s="59"/>
      <c r="K737" s="58"/>
      <c r="L737" s="6"/>
      <c r="M737" s="6"/>
      <c r="N737" s="6"/>
      <c r="O737" s="6"/>
      <c r="P737" s="6"/>
      <c r="Q737" s="6"/>
      <c r="R737" s="6"/>
      <c r="S737" s="6"/>
      <c r="T737" s="6"/>
      <c r="U737"/>
      <c r="V737"/>
      <c r="W737"/>
      <c r="X737"/>
    </row>
    <row r="738" spans="1:111" s="1" customFormat="1" x14ac:dyDescent="0.2">
      <c r="A738" s="44"/>
      <c r="B738" s="44"/>
      <c r="C738" s="44"/>
      <c r="D738" s="44"/>
      <c r="E738" s="44"/>
      <c r="F738" s="58"/>
      <c r="G738" s="32"/>
      <c r="H738" s="58"/>
      <c r="I738" s="58"/>
      <c r="J738" s="59"/>
      <c r="K738" s="58"/>
      <c r="L738" s="6"/>
      <c r="M738" s="6"/>
      <c r="N738" s="6"/>
      <c r="O738" s="6"/>
      <c r="P738" s="6"/>
      <c r="Q738" s="6"/>
      <c r="R738" s="6"/>
      <c r="S738" s="6"/>
      <c r="T738" s="6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</row>
    <row r="739" spans="1:111" x14ac:dyDescent="0.2">
      <c r="A739" s="44"/>
      <c r="B739" s="44"/>
      <c r="C739" s="44"/>
      <c r="D739" s="44"/>
      <c r="E739" s="44"/>
      <c r="F739" s="58"/>
      <c r="G739" s="32"/>
      <c r="H739" s="58"/>
      <c r="I739" s="58"/>
      <c r="J739" s="59"/>
      <c r="K739" s="58"/>
      <c r="L739" s="6"/>
      <c r="M739" s="6"/>
      <c r="N739" s="6"/>
      <c r="O739" s="6"/>
      <c r="P739" s="6"/>
      <c r="Q739" s="6"/>
      <c r="R739" s="6"/>
      <c r="S739" s="6"/>
      <c r="T739" s="6"/>
      <c r="U739"/>
      <c r="V739"/>
      <c r="W739"/>
      <c r="X739"/>
    </row>
    <row r="740" spans="1:111" x14ac:dyDescent="0.2">
      <c r="A740" s="44"/>
      <c r="B740" s="44"/>
      <c r="C740" s="44"/>
      <c r="D740" s="44"/>
      <c r="E740" s="44"/>
      <c r="F740" s="58"/>
      <c r="G740" s="32"/>
      <c r="H740" s="58"/>
      <c r="I740" s="58"/>
      <c r="J740" s="59"/>
      <c r="K740" s="58"/>
      <c r="L740" s="6"/>
      <c r="M740" s="6"/>
      <c r="N740" s="6"/>
      <c r="O740" s="6"/>
      <c r="P740" s="6"/>
      <c r="Q740" s="6"/>
      <c r="R740" s="6"/>
      <c r="S740" s="6"/>
      <c r="T740" s="6"/>
      <c r="U740"/>
      <c r="V740"/>
      <c r="W740"/>
      <c r="X740"/>
    </row>
    <row r="741" spans="1:111" x14ac:dyDescent="0.2">
      <c r="A741" s="44"/>
      <c r="B741" s="44"/>
      <c r="C741" s="44"/>
      <c r="D741" s="44"/>
      <c r="E741" s="44"/>
      <c r="F741" s="58"/>
      <c r="G741" s="32"/>
      <c r="H741" s="58"/>
      <c r="I741" s="58"/>
      <c r="J741" s="59"/>
      <c r="K741" s="58"/>
      <c r="L741" s="6"/>
      <c r="M741" s="6"/>
      <c r="N741" s="6"/>
      <c r="O741" s="6"/>
      <c r="P741" s="6"/>
      <c r="Q741" s="6"/>
      <c r="R741" s="6"/>
      <c r="S741" s="6"/>
      <c r="T741" s="6"/>
      <c r="U741"/>
      <c r="V741"/>
      <c r="W741"/>
      <c r="X741"/>
    </row>
    <row r="742" spans="1:111" x14ac:dyDescent="0.2">
      <c r="A742" s="44"/>
      <c r="B742" s="44"/>
      <c r="C742" s="44"/>
      <c r="D742" s="44"/>
      <c r="E742" s="44"/>
      <c r="F742" s="58"/>
      <c r="G742" s="32"/>
      <c r="H742" s="58"/>
      <c r="I742" s="58"/>
      <c r="J742" s="59"/>
      <c r="K742" s="58"/>
      <c r="L742" s="6"/>
      <c r="M742" s="6"/>
      <c r="N742" s="6"/>
      <c r="O742" s="6"/>
      <c r="P742" s="6"/>
      <c r="Q742" s="6"/>
      <c r="R742" s="6"/>
      <c r="S742" s="6"/>
      <c r="T742" s="6"/>
      <c r="U742"/>
      <c r="V742"/>
      <c r="W742"/>
      <c r="X742"/>
    </row>
    <row r="743" spans="1:111" x14ac:dyDescent="0.2">
      <c r="A743" s="44"/>
      <c r="B743" s="44"/>
      <c r="C743" s="44"/>
      <c r="D743" s="44"/>
      <c r="E743" s="44"/>
      <c r="F743" s="58"/>
      <c r="G743" s="32"/>
      <c r="H743" s="58"/>
      <c r="I743" s="58"/>
      <c r="J743" s="59"/>
      <c r="K743" s="58"/>
      <c r="L743" s="6"/>
      <c r="M743" s="6"/>
      <c r="N743" s="6"/>
      <c r="O743" s="6"/>
      <c r="P743" s="6"/>
      <c r="Q743" s="6"/>
      <c r="R743" s="6"/>
      <c r="S743" s="6"/>
      <c r="T743" s="6"/>
      <c r="U743"/>
      <c r="V743"/>
      <c r="W743"/>
      <c r="X743"/>
    </row>
    <row r="744" spans="1:111" ht="19.5" customHeight="1" x14ac:dyDescent="0.2">
      <c r="A744" s="44"/>
      <c r="B744" s="44"/>
      <c r="C744" s="44"/>
      <c r="D744" s="44"/>
      <c r="E744" s="44"/>
      <c r="F744" s="58"/>
      <c r="G744" s="32"/>
      <c r="H744" s="58"/>
      <c r="I744" s="58"/>
      <c r="J744" s="59"/>
      <c r="K744" s="58"/>
      <c r="L744" s="6"/>
      <c r="M744" s="6"/>
      <c r="N744" s="6"/>
      <c r="O744" s="6"/>
      <c r="P744" s="6"/>
      <c r="Q744" s="6"/>
      <c r="R744" s="6"/>
      <c r="S744" s="6"/>
      <c r="T744" s="6"/>
      <c r="U744"/>
      <c r="V744"/>
      <c r="W744"/>
      <c r="X744"/>
    </row>
    <row r="745" spans="1:111" x14ac:dyDescent="0.2">
      <c r="A745" s="44"/>
      <c r="B745" s="44"/>
      <c r="C745" s="44"/>
      <c r="D745" s="44"/>
      <c r="E745" s="44"/>
      <c r="F745" s="58"/>
      <c r="G745" s="32"/>
      <c r="H745" s="58"/>
      <c r="I745" s="58"/>
      <c r="J745" s="59"/>
      <c r="K745" s="58"/>
      <c r="L745" s="6"/>
      <c r="M745" s="6"/>
      <c r="N745" s="6"/>
      <c r="O745" s="6"/>
      <c r="P745" s="6"/>
      <c r="Q745" s="6"/>
      <c r="R745" s="6"/>
      <c r="S745" s="6"/>
      <c r="T745" s="6"/>
      <c r="U745"/>
      <c r="V745"/>
      <c r="W745"/>
      <c r="X745"/>
    </row>
    <row r="746" spans="1:111" x14ac:dyDescent="0.2">
      <c r="A746" s="44"/>
      <c r="B746" s="44"/>
      <c r="C746" s="44"/>
      <c r="D746" s="44"/>
      <c r="E746" s="44"/>
      <c r="F746" s="58"/>
      <c r="G746" s="32"/>
      <c r="H746" s="58"/>
      <c r="I746" s="58"/>
      <c r="J746" s="59"/>
      <c r="K746" s="58"/>
      <c r="L746" s="6"/>
      <c r="M746" s="6"/>
      <c r="N746" s="6"/>
      <c r="O746" s="6"/>
      <c r="P746" s="6"/>
      <c r="Q746" s="6"/>
      <c r="R746" s="6"/>
      <c r="S746" s="6"/>
      <c r="T746" s="6"/>
      <c r="U746"/>
      <c r="V746"/>
      <c r="W746"/>
      <c r="X746"/>
    </row>
    <row r="747" spans="1:111" x14ac:dyDescent="0.2">
      <c r="A747" s="44"/>
      <c r="B747" s="44"/>
      <c r="C747" s="44"/>
      <c r="D747" s="44"/>
      <c r="E747" s="44"/>
      <c r="F747" s="58"/>
      <c r="G747" s="32"/>
      <c r="H747" s="58"/>
      <c r="I747" s="58"/>
      <c r="J747" s="59"/>
      <c r="K747" s="58"/>
      <c r="L747" s="6"/>
      <c r="M747" s="6"/>
      <c r="N747" s="6"/>
      <c r="O747" s="6"/>
      <c r="P747" s="6"/>
      <c r="Q747" s="6"/>
      <c r="R747" s="6"/>
      <c r="S747" s="6"/>
      <c r="T747" s="6"/>
      <c r="U747"/>
      <c r="V747"/>
      <c r="W747"/>
      <c r="X747"/>
    </row>
    <row r="748" spans="1:111" s="1" customFormat="1" x14ac:dyDescent="0.2">
      <c r="A748" s="44"/>
      <c r="B748" s="44"/>
      <c r="C748" s="44"/>
      <c r="D748" s="44"/>
      <c r="E748" s="44"/>
      <c r="F748" s="58"/>
      <c r="G748" s="32"/>
      <c r="H748" s="58"/>
      <c r="I748" s="58"/>
      <c r="J748" s="59"/>
      <c r="K748" s="58"/>
      <c r="L748" s="6"/>
      <c r="M748" s="6"/>
      <c r="N748" s="6"/>
      <c r="O748" s="6"/>
      <c r="P748" s="6"/>
      <c r="Q748" s="6"/>
      <c r="R748" s="6"/>
      <c r="S748" s="6"/>
      <c r="T748" s="6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</row>
    <row r="749" spans="1:111" x14ac:dyDescent="0.2">
      <c r="A749" s="44"/>
      <c r="B749" s="44"/>
      <c r="C749" s="44"/>
      <c r="D749" s="44"/>
      <c r="E749" s="44"/>
      <c r="F749" s="58"/>
      <c r="G749" s="32"/>
      <c r="H749" s="58"/>
      <c r="I749" s="58"/>
      <c r="J749" s="59"/>
      <c r="K749" s="58"/>
      <c r="L749" s="6"/>
      <c r="M749" s="6"/>
      <c r="N749" s="6"/>
      <c r="O749" s="6"/>
      <c r="P749" s="6"/>
      <c r="Q749" s="6"/>
      <c r="R749" s="6"/>
      <c r="S749" s="6"/>
      <c r="T749" s="6"/>
      <c r="U749"/>
      <c r="V749"/>
      <c r="W749"/>
      <c r="X749"/>
    </row>
    <row r="750" spans="1:111" x14ac:dyDescent="0.2">
      <c r="A750" s="44"/>
      <c r="B750" s="44"/>
      <c r="C750" s="44"/>
      <c r="D750" s="44"/>
      <c r="E750" s="44"/>
      <c r="F750" s="58"/>
      <c r="G750" s="32"/>
      <c r="H750" s="58"/>
      <c r="I750" s="58"/>
      <c r="J750" s="59"/>
      <c r="K750" s="58"/>
      <c r="L750" s="6"/>
      <c r="M750" s="6"/>
      <c r="N750" s="6"/>
      <c r="O750" s="6"/>
      <c r="P750" s="6"/>
      <c r="Q750" s="6"/>
      <c r="R750" s="6"/>
      <c r="S750" s="6"/>
      <c r="T750" s="6"/>
      <c r="U750"/>
      <c r="V750"/>
      <c r="W750"/>
      <c r="X750"/>
    </row>
    <row r="751" spans="1:111" x14ac:dyDescent="0.2">
      <c r="A751" s="44"/>
      <c r="B751" s="44"/>
      <c r="C751" s="44"/>
      <c r="D751" s="44"/>
      <c r="E751" s="44"/>
      <c r="F751" s="58"/>
      <c r="G751" s="32"/>
      <c r="H751" s="58"/>
      <c r="I751" s="58"/>
      <c r="J751" s="59"/>
      <c r="K751" s="58"/>
      <c r="L751" s="6"/>
      <c r="M751" s="6"/>
      <c r="N751" s="6"/>
      <c r="O751" s="6"/>
      <c r="P751" s="6"/>
      <c r="Q751" s="6"/>
      <c r="R751" s="6"/>
      <c r="S751" s="6"/>
      <c r="T751" s="6"/>
      <c r="U751"/>
      <c r="V751"/>
      <c r="W751"/>
      <c r="X751"/>
    </row>
    <row r="752" spans="1:111" x14ac:dyDescent="0.2">
      <c r="A752" s="44"/>
      <c r="B752" s="44"/>
      <c r="C752" s="44"/>
      <c r="D752" s="44"/>
      <c r="E752" s="44"/>
      <c r="F752" s="58"/>
      <c r="G752" s="32"/>
      <c r="H752" s="58"/>
      <c r="I752" s="58"/>
      <c r="J752" s="59"/>
      <c r="K752" s="58"/>
      <c r="L752" s="6"/>
      <c r="M752" s="6"/>
      <c r="N752" s="6"/>
      <c r="O752" s="6"/>
      <c r="P752" s="6"/>
      <c r="Q752" s="6"/>
      <c r="R752" s="6"/>
      <c r="S752" s="6"/>
      <c r="T752" s="6"/>
      <c r="U752"/>
      <c r="V752"/>
      <c r="W752"/>
      <c r="X752"/>
    </row>
    <row r="753" spans="1:24" x14ac:dyDescent="0.2">
      <c r="A753" s="44"/>
      <c r="B753" s="44"/>
      <c r="C753" s="44"/>
      <c r="D753" s="44"/>
      <c r="E753" s="44"/>
      <c r="F753" s="58"/>
      <c r="G753" s="32"/>
      <c r="H753" s="58"/>
      <c r="I753" s="58"/>
      <c r="J753" s="59"/>
      <c r="K753" s="58"/>
      <c r="L753" s="6"/>
      <c r="M753" s="6"/>
      <c r="N753" s="6"/>
      <c r="O753" s="6"/>
      <c r="P753" s="6"/>
      <c r="Q753" s="6"/>
      <c r="R753" s="6"/>
      <c r="S753" s="6"/>
      <c r="T753" s="6"/>
      <c r="U753"/>
      <c r="V753"/>
      <c r="W753"/>
      <c r="X753"/>
    </row>
    <row r="754" spans="1:24" x14ac:dyDescent="0.2">
      <c r="A754" s="44"/>
      <c r="B754" s="44"/>
      <c r="C754" s="44"/>
      <c r="D754" s="44"/>
      <c r="E754" s="44"/>
      <c r="F754" s="58"/>
      <c r="G754" s="32"/>
      <c r="H754" s="58"/>
      <c r="I754" s="58"/>
      <c r="J754" s="59"/>
      <c r="K754" s="58"/>
      <c r="L754" s="6"/>
      <c r="M754" s="6"/>
      <c r="N754" s="6"/>
      <c r="O754" s="6"/>
      <c r="P754" s="6"/>
      <c r="Q754" s="6"/>
      <c r="R754" s="6"/>
      <c r="S754" s="6"/>
      <c r="T754" s="6"/>
      <c r="U754"/>
      <c r="V754"/>
      <c r="W754"/>
      <c r="X754"/>
    </row>
    <row r="755" spans="1:24" x14ac:dyDescent="0.2">
      <c r="A755" s="44"/>
      <c r="B755" s="44"/>
      <c r="C755" s="44"/>
      <c r="D755" s="44"/>
      <c r="E755" s="44"/>
      <c r="F755" s="58"/>
      <c r="G755" s="32"/>
      <c r="H755" s="58"/>
      <c r="I755" s="58"/>
      <c r="J755" s="59"/>
      <c r="K755" s="58"/>
      <c r="L755" s="6"/>
      <c r="M755" s="6"/>
      <c r="N755" s="6"/>
      <c r="O755" s="6"/>
      <c r="P755" s="6"/>
      <c r="Q755" s="6"/>
      <c r="R755" s="6"/>
      <c r="S755" s="6"/>
      <c r="T755" s="6"/>
      <c r="U755"/>
      <c r="V755"/>
      <c r="W755"/>
      <c r="X755"/>
    </row>
    <row r="756" spans="1:24" x14ac:dyDescent="0.2">
      <c r="A756" s="44"/>
      <c r="B756" s="44"/>
      <c r="C756" s="44"/>
      <c r="D756" s="44"/>
      <c r="E756" s="44"/>
      <c r="F756" s="58"/>
      <c r="G756" s="32"/>
      <c r="H756" s="58"/>
      <c r="I756" s="58"/>
      <c r="J756" s="59"/>
      <c r="K756" s="58"/>
      <c r="L756" s="6"/>
      <c r="M756" s="6"/>
      <c r="N756" s="6"/>
      <c r="O756" s="6"/>
      <c r="P756" s="6"/>
      <c r="Q756" s="6"/>
      <c r="R756" s="6"/>
      <c r="S756" s="6"/>
      <c r="T756" s="6"/>
      <c r="U756"/>
      <c r="V756"/>
      <c r="W756"/>
      <c r="X756"/>
    </row>
    <row r="757" spans="1:24" x14ac:dyDescent="0.2">
      <c r="A757" s="44"/>
      <c r="B757" s="44"/>
      <c r="C757" s="44"/>
      <c r="D757" s="44"/>
      <c r="E757" s="44"/>
      <c r="F757" s="58"/>
      <c r="G757" s="32"/>
      <c r="H757" s="58"/>
      <c r="I757" s="58"/>
      <c r="J757" s="59"/>
      <c r="K757" s="58"/>
      <c r="L757" s="6"/>
      <c r="M757" s="6"/>
      <c r="N757" s="6"/>
      <c r="O757" s="6"/>
      <c r="P757" s="6"/>
      <c r="Q757" s="6"/>
      <c r="R757" s="6"/>
      <c r="S757" s="6"/>
      <c r="T757" s="6"/>
      <c r="U757"/>
      <c r="V757"/>
      <c r="W757"/>
      <c r="X757"/>
    </row>
    <row r="758" spans="1:24" x14ac:dyDescent="0.2">
      <c r="A758" s="44"/>
      <c r="B758" s="44"/>
      <c r="C758" s="44"/>
      <c r="D758" s="44"/>
      <c r="E758" s="44"/>
      <c r="F758" s="58"/>
      <c r="G758" s="32"/>
      <c r="H758" s="58"/>
      <c r="I758" s="58"/>
      <c r="J758" s="59"/>
      <c r="K758" s="58"/>
      <c r="L758" s="6"/>
      <c r="M758" s="6"/>
      <c r="N758" s="6"/>
      <c r="O758" s="6"/>
      <c r="P758" s="6"/>
      <c r="Q758" s="6"/>
      <c r="R758" s="6"/>
      <c r="S758" s="6"/>
      <c r="T758" s="6"/>
      <c r="U758"/>
      <c r="V758"/>
      <c r="W758"/>
      <c r="X758"/>
    </row>
    <row r="759" spans="1:24" x14ac:dyDescent="0.2">
      <c r="A759" s="44"/>
      <c r="B759" s="44"/>
      <c r="C759" s="44"/>
      <c r="D759" s="44"/>
      <c r="E759" s="44"/>
      <c r="F759" s="58"/>
      <c r="G759" s="32"/>
      <c r="H759" s="58"/>
      <c r="I759" s="58"/>
      <c r="J759" s="59"/>
      <c r="K759" s="58"/>
      <c r="L759" s="6"/>
      <c r="M759" s="6"/>
      <c r="N759" s="6"/>
      <c r="O759" s="6"/>
      <c r="P759" s="6"/>
      <c r="Q759" s="6"/>
      <c r="R759" s="6"/>
      <c r="S759" s="6"/>
      <c r="T759" s="6"/>
      <c r="U759"/>
      <c r="V759"/>
      <c r="W759"/>
      <c r="X759"/>
    </row>
    <row r="760" spans="1:24" x14ac:dyDescent="0.2">
      <c r="A760" s="44"/>
      <c r="B760" s="44"/>
      <c r="C760" s="44"/>
      <c r="D760" s="44"/>
      <c r="E760" s="44"/>
      <c r="F760" s="58"/>
      <c r="G760" s="32"/>
      <c r="H760" s="58"/>
      <c r="I760" s="58"/>
      <c r="J760" s="59"/>
      <c r="K760" s="58"/>
      <c r="L760" s="6"/>
      <c r="M760" s="6"/>
      <c r="N760" s="6"/>
      <c r="O760" s="6"/>
      <c r="P760" s="6"/>
      <c r="Q760" s="6"/>
      <c r="R760" s="6"/>
      <c r="S760" s="6"/>
      <c r="T760" s="6"/>
      <c r="U760"/>
      <c r="V760"/>
      <c r="W760"/>
      <c r="X760"/>
    </row>
    <row r="761" spans="1:24" x14ac:dyDescent="0.2">
      <c r="A761" s="44"/>
      <c r="B761" s="44"/>
      <c r="C761" s="44"/>
      <c r="D761" s="44"/>
      <c r="E761" s="44"/>
      <c r="F761" s="58"/>
      <c r="G761" s="32"/>
      <c r="H761" s="58"/>
      <c r="I761" s="58"/>
      <c r="J761" s="59"/>
      <c r="K761" s="58"/>
      <c r="L761" s="6"/>
      <c r="M761" s="6"/>
      <c r="N761" s="6"/>
      <c r="O761" s="6"/>
      <c r="P761" s="6"/>
      <c r="Q761" s="6"/>
      <c r="R761" s="6"/>
      <c r="S761" s="6"/>
      <c r="T761" s="6"/>
      <c r="U761"/>
      <c r="V761"/>
      <c r="W761"/>
      <c r="X761"/>
    </row>
    <row r="762" spans="1:24" x14ac:dyDescent="0.2">
      <c r="A762" s="44"/>
      <c r="B762" s="44"/>
      <c r="C762" s="44"/>
      <c r="D762" s="44"/>
      <c r="E762" s="44"/>
      <c r="F762" s="58"/>
      <c r="G762" s="32"/>
      <c r="H762" s="58"/>
      <c r="I762" s="58"/>
      <c r="J762" s="59"/>
      <c r="K762" s="58"/>
      <c r="L762" s="6"/>
      <c r="M762" s="6"/>
      <c r="N762" s="6"/>
      <c r="O762" s="6"/>
      <c r="P762" s="6"/>
      <c r="Q762" s="6"/>
      <c r="R762" s="6"/>
      <c r="S762" s="6"/>
      <c r="T762" s="6"/>
      <c r="U762"/>
      <c r="V762"/>
      <c r="W762"/>
      <c r="X762"/>
    </row>
    <row r="763" spans="1:24" x14ac:dyDescent="0.2">
      <c r="A763" s="44"/>
      <c r="B763" s="44"/>
      <c r="C763" s="44"/>
      <c r="D763" s="44"/>
      <c r="E763" s="44"/>
      <c r="F763" s="58"/>
      <c r="G763" s="32"/>
      <c r="H763" s="58"/>
      <c r="I763" s="58"/>
      <c r="J763" s="59"/>
      <c r="K763" s="58"/>
      <c r="L763" s="6"/>
      <c r="M763" s="6"/>
      <c r="N763" s="6"/>
      <c r="O763" s="6"/>
      <c r="P763" s="6"/>
      <c r="Q763" s="6"/>
      <c r="R763" s="6"/>
      <c r="S763" s="6"/>
      <c r="T763" s="6"/>
      <c r="U763"/>
      <c r="V763"/>
      <c r="W763"/>
      <c r="X763"/>
    </row>
    <row r="764" spans="1:24" x14ac:dyDescent="0.2">
      <c r="A764" s="44"/>
      <c r="B764" s="44"/>
      <c r="C764" s="44"/>
      <c r="D764" s="44"/>
      <c r="E764" s="44"/>
      <c r="F764" s="58"/>
      <c r="G764" s="32"/>
      <c r="H764" s="58"/>
      <c r="I764" s="58"/>
      <c r="J764" s="59"/>
      <c r="K764" s="58"/>
      <c r="L764" s="6"/>
      <c r="M764" s="6"/>
      <c r="N764" s="6"/>
      <c r="O764" s="6"/>
      <c r="P764" s="6"/>
      <c r="Q764" s="6"/>
      <c r="R764" s="6"/>
      <c r="S764" s="6"/>
      <c r="T764" s="6"/>
      <c r="U764"/>
      <c r="V764"/>
      <c r="W764"/>
      <c r="X764"/>
    </row>
    <row r="765" spans="1:24" x14ac:dyDescent="0.2">
      <c r="A765" s="44"/>
      <c r="B765" s="44"/>
      <c r="C765" s="44"/>
      <c r="D765" s="44"/>
      <c r="E765" s="44"/>
      <c r="F765" s="58"/>
      <c r="G765" s="32"/>
      <c r="H765" s="58"/>
      <c r="I765" s="58"/>
      <c r="J765" s="59"/>
      <c r="K765" s="58"/>
      <c r="L765" s="6"/>
      <c r="M765" s="6"/>
      <c r="N765" s="6"/>
      <c r="O765" s="6"/>
      <c r="P765" s="6"/>
      <c r="Q765" s="6"/>
      <c r="R765" s="6"/>
      <c r="S765" s="6"/>
      <c r="T765" s="6"/>
      <c r="U765"/>
      <c r="V765"/>
      <c r="W765"/>
      <c r="X765"/>
    </row>
    <row r="766" spans="1:24" x14ac:dyDescent="0.2">
      <c r="A766" s="44"/>
      <c r="B766" s="44"/>
      <c r="C766" s="44"/>
      <c r="D766" s="44"/>
      <c r="E766" s="44"/>
      <c r="F766" s="58"/>
      <c r="G766" s="32"/>
      <c r="H766" s="58"/>
      <c r="I766" s="58"/>
      <c r="J766" s="59"/>
      <c r="K766" s="58"/>
      <c r="L766" s="6"/>
      <c r="M766" s="6"/>
      <c r="N766" s="6"/>
      <c r="O766" s="6"/>
      <c r="P766" s="6"/>
      <c r="Q766" s="6"/>
      <c r="R766" s="6"/>
      <c r="S766" s="6"/>
      <c r="T766" s="6"/>
      <c r="U766"/>
      <c r="V766"/>
      <c r="W766"/>
      <c r="X766"/>
    </row>
    <row r="767" spans="1:24" x14ac:dyDescent="0.2">
      <c r="A767" s="44"/>
      <c r="B767" s="44"/>
      <c r="C767" s="44"/>
      <c r="D767" s="44"/>
      <c r="E767" s="44"/>
      <c r="F767" s="58"/>
      <c r="G767" s="32"/>
      <c r="H767" s="58"/>
      <c r="I767" s="58"/>
      <c r="J767" s="59"/>
      <c r="K767" s="58"/>
      <c r="L767" s="6"/>
      <c r="M767" s="6"/>
      <c r="N767" s="6"/>
      <c r="O767" s="6"/>
      <c r="P767" s="6"/>
      <c r="Q767" s="6"/>
      <c r="R767" s="6"/>
      <c r="S767" s="6"/>
      <c r="T767" s="6"/>
      <c r="U767"/>
      <c r="V767"/>
      <c r="W767"/>
      <c r="X767"/>
    </row>
    <row r="768" spans="1:24" x14ac:dyDescent="0.2">
      <c r="A768" s="44"/>
      <c r="B768" s="44"/>
      <c r="C768" s="44"/>
      <c r="D768" s="44"/>
      <c r="E768" s="44"/>
      <c r="F768" s="58"/>
      <c r="G768" s="32"/>
      <c r="H768" s="58"/>
      <c r="I768" s="58"/>
      <c r="J768" s="59"/>
      <c r="K768" s="58"/>
      <c r="L768" s="6"/>
      <c r="M768" s="6"/>
      <c r="N768" s="6"/>
      <c r="O768" s="6"/>
      <c r="P768" s="6"/>
      <c r="Q768" s="6"/>
      <c r="R768" s="6"/>
      <c r="S768" s="6"/>
      <c r="T768" s="6"/>
      <c r="U768"/>
      <c r="V768"/>
      <c r="W768"/>
      <c r="X768"/>
    </row>
    <row r="769" spans="1:24" x14ac:dyDescent="0.2">
      <c r="A769" s="44"/>
      <c r="B769" s="44"/>
      <c r="C769" s="44"/>
      <c r="D769" s="44"/>
      <c r="E769" s="44"/>
      <c r="F769" s="58"/>
      <c r="G769" s="32"/>
      <c r="H769" s="58"/>
      <c r="I769" s="58"/>
      <c r="J769" s="59"/>
      <c r="K769" s="58"/>
      <c r="L769" s="6"/>
      <c r="M769" s="6"/>
      <c r="N769" s="6"/>
      <c r="O769" s="6"/>
      <c r="P769" s="6"/>
      <c r="Q769" s="6"/>
      <c r="R769" s="6"/>
      <c r="S769" s="6"/>
      <c r="T769" s="6"/>
      <c r="U769"/>
      <c r="V769"/>
      <c r="W769"/>
      <c r="X769"/>
    </row>
    <row r="770" spans="1:24" x14ac:dyDescent="0.2">
      <c r="A770" s="44"/>
      <c r="B770" s="44"/>
      <c r="C770" s="44"/>
      <c r="D770" s="44"/>
      <c r="E770" s="44"/>
      <c r="F770" s="58"/>
      <c r="G770" s="32"/>
      <c r="H770" s="58"/>
      <c r="I770" s="58"/>
      <c r="J770" s="59"/>
      <c r="K770" s="58"/>
      <c r="L770" s="6"/>
      <c r="M770" s="6"/>
      <c r="N770" s="6"/>
      <c r="O770" s="6"/>
      <c r="P770" s="6"/>
      <c r="Q770" s="6"/>
      <c r="R770" s="6"/>
      <c r="S770" s="6"/>
      <c r="T770" s="6"/>
      <c r="U770"/>
      <c r="V770"/>
      <c r="W770"/>
      <c r="X770"/>
    </row>
    <row r="771" spans="1:24" x14ac:dyDescent="0.2">
      <c r="A771" s="44"/>
      <c r="B771" s="44"/>
      <c r="C771" s="44"/>
      <c r="D771" s="44"/>
      <c r="E771" s="44"/>
      <c r="F771" s="58"/>
      <c r="G771" s="32"/>
      <c r="H771" s="58"/>
      <c r="I771" s="58"/>
      <c r="J771" s="59"/>
      <c r="K771" s="58"/>
      <c r="L771" s="6"/>
      <c r="M771" s="6"/>
      <c r="N771" s="6"/>
      <c r="O771" s="6"/>
      <c r="P771" s="6"/>
      <c r="Q771" s="6"/>
      <c r="R771" s="6"/>
      <c r="S771" s="6"/>
      <c r="T771" s="6"/>
      <c r="U771"/>
      <c r="V771"/>
      <c r="W771"/>
      <c r="X771"/>
    </row>
    <row r="772" spans="1:24" x14ac:dyDescent="0.2">
      <c r="A772" s="44"/>
      <c r="B772" s="44"/>
      <c r="C772" s="44"/>
      <c r="D772" s="44"/>
      <c r="E772" s="44"/>
      <c r="F772" s="58"/>
      <c r="G772" s="32"/>
      <c r="H772" s="58"/>
      <c r="I772" s="58"/>
      <c r="J772" s="59"/>
      <c r="K772" s="58"/>
      <c r="L772" s="6"/>
      <c r="M772" s="6"/>
      <c r="N772" s="6"/>
      <c r="O772" s="6"/>
      <c r="P772" s="6"/>
      <c r="Q772" s="6"/>
      <c r="R772" s="6"/>
      <c r="S772" s="6"/>
      <c r="T772" s="6"/>
      <c r="U772"/>
      <c r="V772"/>
      <c r="W772"/>
      <c r="X772"/>
    </row>
    <row r="773" spans="1:24" x14ac:dyDescent="0.2">
      <c r="A773" s="44"/>
      <c r="B773" s="44"/>
      <c r="C773" s="44"/>
      <c r="D773" s="44"/>
      <c r="E773" s="44"/>
      <c r="F773" s="58"/>
      <c r="G773" s="32"/>
      <c r="H773" s="58"/>
      <c r="I773" s="58"/>
      <c r="J773" s="59"/>
      <c r="K773" s="58"/>
      <c r="L773" s="6"/>
      <c r="M773" s="6"/>
      <c r="N773" s="6"/>
      <c r="O773" s="6"/>
      <c r="P773" s="6"/>
      <c r="Q773" s="6"/>
      <c r="R773" s="6"/>
      <c r="S773" s="6"/>
      <c r="T773" s="6"/>
      <c r="U773"/>
      <c r="V773"/>
      <c r="W773"/>
      <c r="X773"/>
    </row>
    <row r="774" spans="1:24" x14ac:dyDescent="0.2">
      <c r="A774" s="44"/>
      <c r="B774" s="44"/>
      <c r="C774" s="44"/>
      <c r="D774" s="44"/>
      <c r="E774" s="44"/>
      <c r="F774" s="58"/>
      <c r="G774" s="32"/>
      <c r="H774" s="58"/>
      <c r="I774" s="58"/>
      <c r="J774" s="59"/>
      <c r="K774" s="58"/>
      <c r="L774" s="6"/>
      <c r="M774" s="6"/>
      <c r="N774" s="6"/>
      <c r="O774" s="6"/>
      <c r="P774" s="6"/>
      <c r="Q774" s="6"/>
      <c r="R774" s="6"/>
      <c r="S774" s="6"/>
      <c r="T774" s="6"/>
      <c r="U774"/>
      <c r="V774"/>
      <c r="W774"/>
      <c r="X774"/>
    </row>
    <row r="775" spans="1:24" x14ac:dyDescent="0.2">
      <c r="A775" s="44"/>
      <c r="B775" s="44"/>
      <c r="C775" s="44"/>
      <c r="D775" s="44"/>
      <c r="E775" s="44"/>
      <c r="F775" s="58"/>
      <c r="G775" s="32"/>
      <c r="H775" s="58"/>
      <c r="I775" s="58"/>
      <c r="J775" s="59"/>
      <c r="K775" s="58"/>
      <c r="L775" s="6"/>
      <c r="M775" s="6"/>
      <c r="N775" s="6"/>
      <c r="O775" s="6"/>
      <c r="P775" s="6"/>
      <c r="Q775" s="6"/>
      <c r="R775" s="6"/>
      <c r="S775" s="6"/>
      <c r="T775" s="6"/>
      <c r="U775"/>
      <c r="V775"/>
      <c r="W775"/>
      <c r="X775"/>
    </row>
    <row r="776" spans="1:24" x14ac:dyDescent="0.2">
      <c r="A776" s="44"/>
      <c r="B776" s="44"/>
      <c r="C776" s="44"/>
      <c r="D776" s="44"/>
      <c r="E776" s="44"/>
      <c r="F776" s="58"/>
      <c r="G776" s="32"/>
      <c r="H776" s="58"/>
      <c r="I776" s="58"/>
      <c r="J776" s="59"/>
      <c r="K776" s="58"/>
      <c r="L776" s="6"/>
      <c r="M776" s="6"/>
      <c r="N776" s="6"/>
      <c r="O776" s="6"/>
      <c r="P776" s="6"/>
      <c r="Q776" s="6"/>
      <c r="R776" s="6"/>
      <c r="S776" s="6"/>
      <c r="T776" s="6"/>
      <c r="U776"/>
      <c r="V776"/>
      <c r="W776"/>
      <c r="X776"/>
    </row>
    <row r="777" spans="1:24" x14ac:dyDescent="0.2">
      <c r="A777" s="44"/>
      <c r="B777" s="44"/>
      <c r="C777" s="44"/>
      <c r="D777" s="44"/>
      <c r="E777" s="44"/>
      <c r="F777" s="58"/>
      <c r="G777" s="32"/>
      <c r="H777" s="58"/>
      <c r="I777" s="58"/>
      <c r="J777" s="59"/>
      <c r="K777" s="58"/>
      <c r="L777" s="6"/>
      <c r="M777" s="6"/>
      <c r="N777" s="6"/>
      <c r="O777" s="6"/>
      <c r="P777" s="6"/>
      <c r="Q777" s="6"/>
      <c r="R777" s="6"/>
      <c r="S777" s="6"/>
      <c r="T777" s="6"/>
      <c r="U777"/>
      <c r="V777"/>
      <c r="W777"/>
      <c r="X777"/>
    </row>
    <row r="778" spans="1:24" x14ac:dyDescent="0.2">
      <c r="A778" s="44"/>
      <c r="B778" s="44"/>
      <c r="C778" s="44"/>
      <c r="D778" s="44"/>
      <c r="E778" s="44"/>
      <c r="F778" s="58"/>
      <c r="G778" s="32"/>
      <c r="H778" s="58"/>
      <c r="I778" s="58"/>
      <c r="J778" s="59"/>
      <c r="K778" s="58"/>
      <c r="L778" s="6"/>
      <c r="M778" s="6"/>
      <c r="N778" s="6"/>
      <c r="O778" s="6"/>
      <c r="P778" s="6"/>
      <c r="Q778" s="6"/>
      <c r="R778" s="6"/>
      <c r="S778" s="6"/>
      <c r="T778" s="6"/>
      <c r="U778"/>
      <c r="V778"/>
      <c r="W778"/>
      <c r="X778"/>
    </row>
    <row r="779" spans="1:24" x14ac:dyDescent="0.2">
      <c r="A779" s="44"/>
      <c r="B779" s="44"/>
      <c r="C779" s="44"/>
      <c r="D779" s="44"/>
      <c r="E779" s="44"/>
      <c r="F779" s="58"/>
      <c r="G779" s="32"/>
      <c r="H779" s="58"/>
      <c r="I779" s="58"/>
      <c r="J779" s="59"/>
      <c r="K779" s="58"/>
      <c r="L779" s="6"/>
      <c r="M779" s="6"/>
      <c r="N779" s="6"/>
      <c r="O779" s="6"/>
      <c r="P779" s="6"/>
      <c r="Q779" s="6"/>
      <c r="R779" s="6"/>
      <c r="S779" s="6"/>
      <c r="T779" s="6"/>
      <c r="U779"/>
      <c r="V779"/>
      <c r="W779"/>
      <c r="X779"/>
    </row>
    <row r="780" spans="1:24" x14ac:dyDescent="0.2">
      <c r="A780" s="44"/>
      <c r="B780" s="44"/>
      <c r="C780" s="44"/>
      <c r="D780" s="44"/>
      <c r="E780" s="44"/>
      <c r="F780" s="58"/>
      <c r="G780" s="32"/>
      <c r="H780" s="58"/>
      <c r="I780" s="58"/>
      <c r="J780" s="59"/>
      <c r="K780" s="58"/>
      <c r="L780" s="6"/>
      <c r="M780" s="6"/>
      <c r="N780" s="6"/>
      <c r="O780" s="6"/>
      <c r="P780" s="6"/>
      <c r="Q780" s="6"/>
      <c r="R780" s="6"/>
      <c r="S780" s="6"/>
      <c r="T780" s="6"/>
      <c r="U780"/>
      <c r="V780"/>
      <c r="W780"/>
      <c r="X780"/>
    </row>
    <row r="781" spans="1:24" x14ac:dyDescent="0.2">
      <c r="A781" s="44"/>
      <c r="B781" s="44"/>
      <c r="C781" s="44"/>
      <c r="D781" s="44"/>
      <c r="E781" s="44"/>
      <c r="F781" s="58"/>
      <c r="G781" s="32"/>
      <c r="H781" s="58"/>
      <c r="I781" s="58"/>
      <c r="J781" s="59"/>
      <c r="K781" s="58"/>
      <c r="L781" s="6"/>
      <c r="M781" s="6"/>
      <c r="N781" s="6"/>
      <c r="O781" s="6"/>
      <c r="P781" s="6"/>
      <c r="Q781" s="6"/>
      <c r="R781" s="6"/>
      <c r="S781" s="6"/>
      <c r="T781" s="6"/>
      <c r="U781"/>
      <c r="V781"/>
      <c r="W781"/>
      <c r="X781"/>
    </row>
    <row r="782" spans="1:24" x14ac:dyDescent="0.2">
      <c r="A782" s="44"/>
      <c r="B782" s="44"/>
      <c r="C782" s="44"/>
      <c r="D782" s="44"/>
      <c r="E782" s="44"/>
      <c r="F782" s="58"/>
      <c r="G782" s="32"/>
      <c r="H782" s="58"/>
      <c r="I782" s="58"/>
      <c r="J782" s="59"/>
      <c r="K782" s="58"/>
      <c r="L782" s="6"/>
      <c r="M782" s="6"/>
      <c r="N782" s="6"/>
      <c r="O782" s="6"/>
      <c r="P782" s="6"/>
      <c r="Q782" s="6"/>
      <c r="R782" s="6"/>
      <c r="S782" s="6"/>
      <c r="T782" s="6"/>
      <c r="U782"/>
      <c r="V782"/>
      <c r="W782"/>
      <c r="X782"/>
    </row>
    <row r="783" spans="1:24" x14ac:dyDescent="0.2">
      <c r="A783" s="44"/>
      <c r="B783" s="44"/>
      <c r="C783" s="44"/>
      <c r="D783" s="44"/>
      <c r="E783" s="44"/>
      <c r="F783" s="58"/>
      <c r="G783" s="32"/>
      <c r="H783" s="58"/>
      <c r="I783" s="58"/>
      <c r="J783" s="59"/>
      <c r="K783" s="58"/>
      <c r="L783" s="6"/>
      <c r="M783" s="6"/>
      <c r="N783" s="6"/>
      <c r="O783" s="6"/>
      <c r="P783" s="6"/>
      <c r="Q783" s="6"/>
      <c r="R783" s="6"/>
      <c r="S783" s="6"/>
      <c r="T783" s="6"/>
      <c r="U783"/>
      <c r="V783"/>
      <c r="W783"/>
      <c r="X783"/>
    </row>
    <row r="784" spans="1:24" x14ac:dyDescent="0.2">
      <c r="A784" s="44"/>
      <c r="B784" s="44"/>
      <c r="C784" s="44"/>
      <c r="D784" s="44"/>
      <c r="E784" s="44"/>
      <c r="F784" s="58"/>
      <c r="G784" s="32"/>
      <c r="H784" s="58"/>
      <c r="I784" s="58"/>
      <c r="J784" s="59"/>
      <c r="K784" s="58"/>
      <c r="L784" s="6"/>
      <c r="M784" s="6"/>
      <c r="N784" s="6"/>
      <c r="O784" s="6"/>
      <c r="P784" s="6"/>
      <c r="Q784" s="6"/>
      <c r="R784" s="6"/>
      <c r="S784" s="6"/>
      <c r="T784" s="6"/>
      <c r="U784"/>
      <c r="V784"/>
      <c r="W784"/>
      <c r="X784"/>
    </row>
    <row r="785" spans="1:24" x14ac:dyDescent="0.2">
      <c r="A785" s="44"/>
      <c r="B785" s="44"/>
      <c r="C785" s="44"/>
      <c r="D785" s="44"/>
      <c r="E785" s="44"/>
      <c r="F785" s="58"/>
      <c r="G785" s="32"/>
      <c r="H785" s="58"/>
      <c r="I785" s="58"/>
      <c r="J785" s="59"/>
      <c r="K785" s="58"/>
      <c r="L785" s="6"/>
      <c r="M785" s="6"/>
      <c r="N785" s="6"/>
      <c r="O785" s="6"/>
      <c r="P785" s="6"/>
      <c r="Q785" s="6"/>
      <c r="R785" s="6"/>
      <c r="S785" s="6"/>
      <c r="T785" s="6"/>
      <c r="U785"/>
      <c r="V785"/>
      <c r="W785"/>
      <c r="X785"/>
    </row>
    <row r="786" spans="1:24" x14ac:dyDescent="0.2">
      <c r="A786" s="44"/>
      <c r="B786" s="44"/>
      <c r="C786" s="44"/>
      <c r="D786" s="44"/>
      <c r="E786" s="44"/>
      <c r="F786" s="58"/>
      <c r="G786" s="32"/>
      <c r="H786" s="58"/>
      <c r="I786" s="58"/>
      <c r="J786" s="59"/>
      <c r="K786" s="58"/>
      <c r="L786" s="6"/>
      <c r="M786" s="6"/>
      <c r="N786" s="6"/>
      <c r="O786" s="6"/>
      <c r="P786" s="6"/>
      <c r="Q786" s="6"/>
      <c r="R786" s="6"/>
      <c r="S786" s="6"/>
      <c r="T786" s="6"/>
      <c r="U786"/>
      <c r="V786"/>
      <c r="W786"/>
      <c r="X786"/>
    </row>
    <row r="787" spans="1:24" ht="12" customHeight="1" x14ac:dyDescent="0.2">
      <c r="A787" s="44"/>
      <c r="B787" s="44"/>
      <c r="C787" s="44"/>
      <c r="D787" s="44"/>
      <c r="E787" s="44"/>
      <c r="F787" s="58"/>
      <c r="G787" s="32"/>
      <c r="H787" s="58"/>
      <c r="I787" s="58"/>
      <c r="J787" s="59"/>
      <c r="K787" s="58"/>
      <c r="L787" s="6"/>
      <c r="M787" s="6"/>
      <c r="N787" s="6"/>
      <c r="O787" s="6"/>
      <c r="P787" s="6"/>
      <c r="Q787" s="6"/>
      <c r="R787" s="6"/>
      <c r="S787" s="6"/>
      <c r="T787" s="6"/>
      <c r="U787"/>
      <c r="V787"/>
      <c r="W787"/>
      <c r="X787"/>
    </row>
    <row r="788" spans="1:24" x14ac:dyDescent="0.2">
      <c r="A788" s="44"/>
      <c r="B788" s="44"/>
      <c r="C788" s="44"/>
      <c r="D788" s="44"/>
      <c r="E788" s="44"/>
      <c r="F788" s="58"/>
      <c r="G788" s="32"/>
      <c r="H788" s="58"/>
      <c r="I788" s="58"/>
      <c r="J788" s="59"/>
      <c r="K788" s="58"/>
      <c r="L788" s="6"/>
      <c r="M788" s="6"/>
      <c r="N788" s="6"/>
      <c r="O788" s="6"/>
      <c r="P788" s="6"/>
      <c r="Q788" s="6"/>
      <c r="R788" s="6"/>
      <c r="S788" s="6"/>
      <c r="T788" s="6"/>
      <c r="U788"/>
      <c r="V788"/>
      <c r="W788"/>
      <c r="X788"/>
    </row>
    <row r="789" spans="1:24" x14ac:dyDescent="0.2">
      <c r="A789" s="44"/>
      <c r="B789" s="44"/>
      <c r="C789" s="44"/>
      <c r="D789" s="44"/>
      <c r="E789" s="44"/>
      <c r="F789" s="58"/>
      <c r="G789" s="32"/>
      <c r="H789" s="58"/>
      <c r="I789" s="58"/>
      <c r="J789" s="59"/>
      <c r="K789" s="58"/>
      <c r="L789" s="6"/>
      <c r="M789" s="6"/>
      <c r="N789" s="6"/>
      <c r="O789" s="6"/>
      <c r="P789" s="6"/>
      <c r="Q789" s="6"/>
      <c r="R789" s="6"/>
      <c r="S789" s="6"/>
      <c r="T789" s="6"/>
      <c r="U789"/>
      <c r="V789"/>
      <c r="W789"/>
      <c r="X789"/>
    </row>
    <row r="790" spans="1:24" x14ac:dyDescent="0.2">
      <c r="A790" s="44"/>
      <c r="B790" s="44"/>
      <c r="C790" s="44"/>
      <c r="D790" s="44"/>
      <c r="E790" s="44"/>
      <c r="F790" s="58"/>
      <c r="G790" s="32"/>
      <c r="H790" s="58"/>
      <c r="I790" s="58"/>
      <c r="J790" s="59"/>
      <c r="K790" s="58"/>
      <c r="L790" s="6"/>
      <c r="M790" s="6"/>
      <c r="N790" s="6"/>
      <c r="O790" s="6"/>
      <c r="P790" s="6"/>
      <c r="Q790" s="6"/>
      <c r="R790" s="6"/>
      <c r="S790" s="6"/>
      <c r="T790" s="6"/>
      <c r="U790"/>
      <c r="V790"/>
      <c r="W790"/>
      <c r="X790"/>
    </row>
    <row r="791" spans="1:24" x14ac:dyDescent="0.2">
      <c r="A791" s="44"/>
      <c r="B791" s="44"/>
      <c r="C791" s="44"/>
      <c r="D791" s="44"/>
      <c r="E791" s="44"/>
      <c r="F791" s="58"/>
      <c r="G791" s="32"/>
      <c r="H791" s="58"/>
      <c r="I791" s="58"/>
      <c r="J791" s="59"/>
      <c r="K791" s="58"/>
      <c r="L791" s="6"/>
      <c r="M791" s="6"/>
      <c r="N791" s="6"/>
      <c r="O791" s="6"/>
      <c r="P791" s="6"/>
      <c r="Q791" s="6"/>
      <c r="R791" s="6"/>
      <c r="S791" s="6"/>
      <c r="T791" s="6"/>
      <c r="U791"/>
      <c r="V791"/>
      <c r="W791"/>
      <c r="X791"/>
    </row>
    <row r="792" spans="1:24" x14ac:dyDescent="0.2">
      <c r="A792" s="44"/>
      <c r="B792" s="44"/>
      <c r="C792" s="44"/>
      <c r="D792" s="44"/>
      <c r="E792" s="44"/>
      <c r="F792" s="58"/>
      <c r="G792" s="32"/>
      <c r="H792" s="58"/>
      <c r="I792" s="58"/>
      <c r="J792" s="59"/>
      <c r="K792" s="58"/>
      <c r="L792" s="6"/>
      <c r="M792" s="6"/>
      <c r="N792" s="6"/>
      <c r="O792" s="6"/>
      <c r="P792" s="6"/>
      <c r="Q792" s="6"/>
      <c r="R792" s="6"/>
      <c r="S792" s="6"/>
      <c r="T792" s="6"/>
      <c r="U792"/>
      <c r="V792"/>
      <c r="W792"/>
      <c r="X792"/>
    </row>
    <row r="793" spans="1:24" x14ac:dyDescent="0.2">
      <c r="A793" s="44"/>
      <c r="B793" s="44"/>
      <c r="C793" s="44"/>
      <c r="D793" s="44"/>
      <c r="E793" s="44"/>
      <c r="F793" s="58"/>
      <c r="G793" s="32"/>
      <c r="H793" s="58"/>
      <c r="I793" s="58"/>
      <c r="J793" s="59"/>
      <c r="K793" s="58"/>
      <c r="L793" s="6"/>
      <c r="M793" s="6"/>
      <c r="N793" s="6"/>
      <c r="O793" s="6"/>
      <c r="P793" s="6"/>
      <c r="Q793" s="6"/>
      <c r="R793" s="6"/>
      <c r="S793" s="6"/>
      <c r="T793" s="6"/>
      <c r="U793"/>
      <c r="V793"/>
      <c r="W793"/>
      <c r="X793"/>
    </row>
    <row r="794" spans="1:24" x14ac:dyDescent="0.2">
      <c r="A794" s="44"/>
      <c r="B794" s="44"/>
      <c r="C794" s="44"/>
      <c r="D794" s="44"/>
      <c r="E794" s="44"/>
      <c r="F794" s="58"/>
      <c r="G794" s="32"/>
      <c r="H794" s="58"/>
      <c r="I794" s="58"/>
      <c r="J794" s="59"/>
      <c r="K794" s="58"/>
      <c r="L794" s="6"/>
      <c r="M794" s="6"/>
      <c r="N794" s="6"/>
      <c r="O794" s="6"/>
      <c r="P794" s="6"/>
      <c r="Q794" s="6"/>
      <c r="R794" s="6"/>
      <c r="S794" s="6"/>
      <c r="T794" s="6"/>
      <c r="U794"/>
      <c r="V794"/>
      <c r="W794"/>
      <c r="X794"/>
    </row>
    <row r="795" spans="1:24" x14ac:dyDescent="0.2">
      <c r="A795" s="44"/>
      <c r="B795" s="44"/>
      <c r="C795" s="44"/>
      <c r="D795" s="44"/>
      <c r="E795" s="44"/>
      <c r="F795" s="58"/>
      <c r="G795" s="32"/>
      <c r="H795" s="58"/>
      <c r="I795" s="58"/>
      <c r="J795" s="59"/>
      <c r="K795" s="58"/>
      <c r="L795" s="6"/>
      <c r="M795" s="6"/>
      <c r="N795" s="6"/>
      <c r="O795" s="6"/>
      <c r="P795" s="6"/>
      <c r="Q795" s="6"/>
      <c r="R795" s="6"/>
      <c r="S795" s="6"/>
      <c r="T795" s="6"/>
      <c r="U795"/>
      <c r="V795"/>
      <c r="W795"/>
      <c r="X795"/>
    </row>
    <row r="796" spans="1:24" x14ac:dyDescent="0.2">
      <c r="A796" s="44"/>
      <c r="B796" s="44"/>
      <c r="C796" s="44"/>
      <c r="D796" s="44"/>
      <c r="E796" s="44"/>
      <c r="F796" s="58"/>
      <c r="G796" s="32"/>
      <c r="H796" s="58"/>
      <c r="I796" s="58"/>
      <c r="J796" s="59"/>
      <c r="K796" s="58"/>
      <c r="L796" s="6"/>
      <c r="M796" s="6"/>
      <c r="N796" s="6"/>
      <c r="O796" s="6"/>
      <c r="P796" s="6"/>
      <c r="Q796" s="6"/>
      <c r="R796" s="6"/>
      <c r="S796" s="6"/>
      <c r="T796" s="6"/>
      <c r="U796"/>
      <c r="V796"/>
      <c r="W796"/>
      <c r="X796"/>
    </row>
    <row r="797" spans="1:24" x14ac:dyDescent="0.2">
      <c r="A797" s="44"/>
      <c r="B797" s="44"/>
      <c r="C797" s="44"/>
      <c r="D797" s="44"/>
      <c r="E797" s="44"/>
      <c r="F797" s="58"/>
      <c r="G797" s="32"/>
      <c r="H797" s="58"/>
      <c r="I797" s="58"/>
      <c r="J797" s="59"/>
      <c r="K797" s="58"/>
      <c r="L797" s="6"/>
      <c r="M797" s="6"/>
      <c r="N797" s="6"/>
      <c r="O797" s="6"/>
      <c r="P797" s="6"/>
      <c r="Q797" s="6"/>
      <c r="R797" s="6"/>
      <c r="S797" s="6"/>
      <c r="T797" s="6"/>
      <c r="U797"/>
      <c r="V797"/>
      <c r="W797"/>
      <c r="X797"/>
    </row>
    <row r="798" spans="1:24" x14ac:dyDescent="0.2">
      <c r="A798" s="44"/>
      <c r="B798" s="44"/>
      <c r="C798" s="44"/>
      <c r="D798" s="44"/>
      <c r="E798" s="44"/>
      <c r="F798" s="58"/>
      <c r="G798" s="32"/>
      <c r="H798" s="58"/>
      <c r="I798" s="58"/>
      <c r="J798" s="59"/>
      <c r="K798" s="58"/>
      <c r="L798" s="6"/>
      <c r="M798" s="6"/>
      <c r="N798" s="6"/>
      <c r="O798" s="6"/>
      <c r="P798" s="6"/>
      <c r="Q798" s="6"/>
      <c r="R798" s="6"/>
      <c r="S798" s="6"/>
      <c r="T798" s="6"/>
      <c r="U798"/>
      <c r="V798"/>
      <c r="W798"/>
      <c r="X798"/>
    </row>
    <row r="799" spans="1:24" x14ac:dyDescent="0.2">
      <c r="A799" s="44"/>
      <c r="B799" s="44"/>
      <c r="C799" s="44"/>
      <c r="D799" s="44"/>
      <c r="E799" s="44"/>
      <c r="F799" s="58"/>
      <c r="G799" s="32"/>
      <c r="H799" s="58"/>
      <c r="I799" s="58"/>
      <c r="J799" s="59"/>
      <c r="K799" s="58"/>
      <c r="L799" s="6"/>
      <c r="M799" s="6"/>
      <c r="N799" s="6"/>
      <c r="O799" s="6"/>
      <c r="P799" s="6"/>
      <c r="Q799" s="6"/>
      <c r="R799" s="6"/>
      <c r="S799" s="6"/>
      <c r="T799" s="6"/>
      <c r="U799"/>
      <c r="V799"/>
      <c r="W799"/>
      <c r="X799"/>
    </row>
    <row r="800" spans="1:24" x14ac:dyDescent="0.2">
      <c r="A800" s="44"/>
      <c r="B800" s="44"/>
      <c r="C800" s="44"/>
      <c r="D800" s="44"/>
      <c r="E800" s="44"/>
      <c r="F800" s="58"/>
      <c r="G800" s="32"/>
      <c r="H800" s="58"/>
      <c r="I800" s="58"/>
      <c r="J800" s="59"/>
      <c r="K800" s="58"/>
      <c r="L800" s="6"/>
      <c r="M800" s="6"/>
      <c r="N800" s="6"/>
      <c r="O800" s="6"/>
      <c r="P800" s="6"/>
      <c r="Q800" s="6"/>
      <c r="R800" s="6"/>
      <c r="S800" s="6"/>
      <c r="T800" s="6"/>
      <c r="U800"/>
      <c r="V800"/>
      <c r="W800"/>
      <c r="X800"/>
    </row>
    <row r="801" spans="1:24" x14ac:dyDescent="0.2">
      <c r="A801" s="44"/>
      <c r="B801" s="44"/>
      <c r="C801" s="44"/>
      <c r="D801" s="44"/>
      <c r="E801" s="44"/>
      <c r="F801" s="58"/>
      <c r="G801" s="32"/>
      <c r="H801" s="58"/>
      <c r="I801" s="58"/>
      <c r="J801" s="59"/>
      <c r="K801" s="58"/>
      <c r="L801" s="6"/>
      <c r="M801" s="6"/>
      <c r="N801" s="6"/>
      <c r="O801" s="6"/>
      <c r="P801" s="6"/>
      <c r="Q801" s="6"/>
      <c r="R801" s="6"/>
      <c r="S801" s="6"/>
      <c r="T801" s="6"/>
      <c r="U801"/>
      <c r="V801"/>
      <c r="W801"/>
      <c r="X801"/>
    </row>
    <row r="802" spans="1:24" x14ac:dyDescent="0.2">
      <c r="A802" s="44"/>
      <c r="B802" s="44"/>
      <c r="C802" s="44"/>
      <c r="D802" s="44"/>
      <c r="E802" s="44"/>
      <c r="F802" s="58"/>
      <c r="G802" s="32"/>
      <c r="H802" s="58"/>
      <c r="I802" s="58"/>
      <c r="J802" s="59"/>
      <c r="K802" s="58"/>
      <c r="L802" s="6"/>
      <c r="M802" s="6"/>
      <c r="N802" s="6"/>
      <c r="O802" s="6"/>
      <c r="P802" s="6"/>
      <c r="Q802" s="6"/>
      <c r="R802" s="6"/>
      <c r="S802" s="6"/>
      <c r="T802" s="6"/>
      <c r="U802"/>
      <c r="V802"/>
      <c r="W802"/>
      <c r="X802"/>
    </row>
    <row r="803" spans="1:24" x14ac:dyDescent="0.2">
      <c r="A803" s="44"/>
      <c r="B803" s="44"/>
      <c r="C803" s="44"/>
      <c r="D803" s="44"/>
      <c r="E803" s="44"/>
      <c r="F803" s="58"/>
      <c r="G803" s="32"/>
      <c r="H803" s="58"/>
      <c r="I803" s="58"/>
      <c r="J803" s="59"/>
      <c r="K803" s="58"/>
      <c r="L803" s="6"/>
      <c r="M803" s="6"/>
      <c r="N803" s="6"/>
      <c r="O803" s="6"/>
      <c r="P803" s="6"/>
      <c r="Q803" s="6"/>
      <c r="R803" s="6"/>
      <c r="S803" s="6"/>
      <c r="T803" s="6"/>
      <c r="U803"/>
      <c r="V803"/>
      <c r="W803"/>
      <c r="X803"/>
    </row>
    <row r="804" spans="1:24" x14ac:dyDescent="0.2">
      <c r="A804" s="44"/>
      <c r="B804" s="44"/>
      <c r="C804" s="44"/>
      <c r="D804" s="44"/>
      <c r="E804" s="44"/>
      <c r="F804" s="58"/>
      <c r="G804" s="32"/>
      <c r="H804" s="58"/>
      <c r="I804" s="58"/>
      <c r="J804" s="59"/>
      <c r="K804" s="58"/>
      <c r="L804" s="6"/>
      <c r="M804" s="6"/>
      <c r="N804" s="6"/>
      <c r="O804" s="6"/>
      <c r="P804" s="6"/>
      <c r="Q804" s="6"/>
      <c r="R804" s="6"/>
      <c r="S804" s="6"/>
      <c r="T804" s="6"/>
      <c r="U804"/>
      <c r="V804"/>
      <c r="W804"/>
      <c r="X804"/>
    </row>
    <row r="805" spans="1:24" x14ac:dyDescent="0.2">
      <c r="A805" s="44"/>
      <c r="B805" s="44"/>
      <c r="C805" s="44"/>
      <c r="D805" s="44"/>
      <c r="E805" s="44"/>
      <c r="F805" s="58"/>
      <c r="G805" s="32"/>
      <c r="H805" s="58"/>
      <c r="I805" s="58"/>
      <c r="J805" s="59"/>
      <c r="K805" s="58"/>
      <c r="L805" s="6"/>
      <c r="M805" s="6"/>
      <c r="N805" s="6"/>
      <c r="O805" s="6"/>
      <c r="P805" s="6"/>
      <c r="Q805" s="6"/>
      <c r="R805" s="6"/>
      <c r="S805" s="6"/>
      <c r="T805" s="6"/>
      <c r="U805"/>
      <c r="V805"/>
      <c r="W805"/>
      <c r="X805"/>
    </row>
    <row r="806" spans="1:24" x14ac:dyDescent="0.2">
      <c r="A806" s="44"/>
      <c r="B806" s="44"/>
      <c r="C806" s="44"/>
      <c r="D806" s="44"/>
      <c r="E806" s="44"/>
      <c r="F806" s="58"/>
      <c r="G806" s="32"/>
      <c r="H806" s="58"/>
      <c r="I806" s="58"/>
      <c r="J806" s="59"/>
      <c r="K806" s="58"/>
      <c r="L806" s="6"/>
      <c r="M806" s="6"/>
      <c r="N806" s="6"/>
      <c r="O806" s="6"/>
      <c r="P806" s="6"/>
      <c r="Q806" s="6"/>
      <c r="R806" s="6"/>
      <c r="S806" s="6"/>
      <c r="T806" s="6"/>
      <c r="U806"/>
      <c r="V806"/>
      <c r="W806"/>
      <c r="X806"/>
    </row>
    <row r="807" spans="1:24" x14ac:dyDescent="0.2">
      <c r="A807" s="44"/>
      <c r="B807" s="44"/>
      <c r="C807" s="44"/>
      <c r="D807" s="44"/>
      <c r="E807" s="44"/>
      <c r="F807" s="58"/>
      <c r="G807" s="32"/>
      <c r="H807" s="58"/>
      <c r="I807" s="58"/>
      <c r="J807" s="59"/>
      <c r="K807" s="58"/>
      <c r="L807" s="6"/>
      <c r="M807" s="6"/>
      <c r="N807" s="6"/>
      <c r="O807" s="6"/>
      <c r="P807" s="6"/>
      <c r="Q807" s="6"/>
      <c r="R807" s="6"/>
      <c r="S807" s="6"/>
      <c r="T807" s="6"/>
      <c r="U807"/>
      <c r="V807"/>
      <c r="W807"/>
      <c r="X807"/>
    </row>
    <row r="808" spans="1:24" x14ac:dyDescent="0.2">
      <c r="A808" s="44"/>
      <c r="B808" s="44"/>
      <c r="C808" s="44"/>
      <c r="D808" s="44"/>
      <c r="E808" s="44"/>
      <c r="F808" s="58"/>
      <c r="G808" s="32"/>
      <c r="H808" s="58"/>
      <c r="I808" s="58"/>
      <c r="J808" s="59"/>
      <c r="K808" s="58"/>
      <c r="L808" s="6"/>
      <c r="M808" s="6"/>
      <c r="N808" s="6"/>
      <c r="O808" s="6"/>
      <c r="P808" s="6"/>
      <c r="Q808" s="6"/>
      <c r="R808" s="6"/>
      <c r="S808" s="6"/>
      <c r="T808" s="6"/>
      <c r="U808"/>
      <c r="V808"/>
      <c r="W808"/>
      <c r="X808"/>
    </row>
    <row r="809" spans="1:24" x14ac:dyDescent="0.2">
      <c r="A809" s="44"/>
      <c r="B809" s="44"/>
      <c r="C809" s="44"/>
      <c r="D809" s="44"/>
      <c r="E809" s="44"/>
      <c r="F809" s="58"/>
      <c r="G809" s="32"/>
      <c r="H809" s="58"/>
      <c r="I809" s="58"/>
      <c r="J809" s="59"/>
      <c r="K809" s="58"/>
      <c r="L809" s="6"/>
      <c r="M809" s="6"/>
      <c r="N809" s="6"/>
      <c r="O809" s="6"/>
      <c r="P809" s="6"/>
      <c r="Q809" s="6"/>
      <c r="R809" s="6"/>
      <c r="S809" s="6"/>
      <c r="T809" s="6"/>
      <c r="U809"/>
      <c r="V809"/>
      <c r="W809"/>
      <c r="X809"/>
    </row>
    <row r="810" spans="1:24" x14ac:dyDescent="0.2">
      <c r="A810" s="44"/>
      <c r="B810" s="44"/>
      <c r="C810" s="44"/>
      <c r="D810" s="44"/>
      <c r="E810" s="44"/>
      <c r="F810" s="58"/>
      <c r="G810" s="32"/>
      <c r="H810" s="58"/>
      <c r="I810" s="58"/>
      <c r="J810" s="59"/>
      <c r="K810" s="58"/>
      <c r="L810" s="6"/>
      <c r="M810" s="6"/>
      <c r="N810" s="6"/>
      <c r="O810" s="6"/>
      <c r="P810" s="6"/>
      <c r="Q810" s="6"/>
      <c r="R810" s="6"/>
      <c r="S810" s="6"/>
      <c r="T810" s="6"/>
      <c r="U810"/>
      <c r="V810"/>
      <c r="W810"/>
      <c r="X810"/>
    </row>
    <row r="811" spans="1:24" x14ac:dyDescent="0.2">
      <c r="A811" s="44"/>
      <c r="B811" s="44"/>
      <c r="C811" s="44"/>
      <c r="D811" s="44"/>
      <c r="E811" s="44"/>
      <c r="F811" s="58"/>
      <c r="G811" s="32"/>
      <c r="H811" s="58"/>
      <c r="I811" s="58"/>
      <c r="J811" s="59"/>
      <c r="K811" s="58"/>
      <c r="L811" s="6"/>
      <c r="M811" s="6"/>
      <c r="N811" s="6"/>
      <c r="O811" s="6"/>
      <c r="P811" s="6"/>
      <c r="Q811" s="6"/>
      <c r="R811" s="6"/>
      <c r="S811" s="6"/>
      <c r="T811" s="6"/>
      <c r="U811"/>
      <c r="V811"/>
      <c r="W811"/>
      <c r="X811"/>
    </row>
    <row r="812" spans="1:24" x14ac:dyDescent="0.2">
      <c r="A812" s="44"/>
      <c r="B812" s="44"/>
      <c r="C812" s="44"/>
      <c r="D812" s="44"/>
      <c r="E812" s="44"/>
      <c r="F812" s="58"/>
      <c r="G812" s="32"/>
      <c r="H812" s="58"/>
      <c r="I812" s="58"/>
      <c r="J812" s="59"/>
      <c r="K812" s="58"/>
      <c r="L812" s="6"/>
      <c r="M812" s="6"/>
      <c r="N812" s="6"/>
      <c r="O812" s="6"/>
      <c r="P812" s="6"/>
      <c r="Q812" s="6"/>
      <c r="R812" s="6"/>
      <c r="S812" s="6"/>
      <c r="T812" s="6"/>
      <c r="U812"/>
      <c r="V812"/>
      <c r="W812"/>
      <c r="X812"/>
    </row>
    <row r="813" spans="1:24" x14ac:dyDescent="0.2">
      <c r="A813" s="44"/>
      <c r="B813" s="44"/>
      <c r="C813" s="44"/>
      <c r="D813" s="44"/>
      <c r="E813" s="44"/>
      <c r="F813" s="58"/>
      <c r="G813" s="32"/>
      <c r="H813" s="58"/>
      <c r="I813" s="58"/>
      <c r="J813" s="59"/>
      <c r="K813" s="58"/>
      <c r="L813" s="6"/>
      <c r="M813" s="6"/>
      <c r="N813" s="6"/>
      <c r="O813" s="6"/>
      <c r="P813" s="6"/>
      <c r="Q813" s="6"/>
      <c r="R813" s="6"/>
      <c r="S813" s="6"/>
      <c r="T813" s="6"/>
      <c r="U813"/>
      <c r="V813"/>
      <c r="W813"/>
      <c r="X813"/>
    </row>
    <row r="814" spans="1:24" x14ac:dyDescent="0.2">
      <c r="A814" s="44"/>
      <c r="B814" s="44"/>
      <c r="C814" s="44"/>
      <c r="D814" s="44"/>
      <c r="E814" s="44"/>
      <c r="F814" s="58"/>
      <c r="G814" s="32"/>
      <c r="H814" s="58"/>
      <c r="I814" s="58"/>
      <c r="J814" s="59"/>
      <c r="K814" s="58"/>
      <c r="L814" s="6"/>
      <c r="M814" s="6"/>
      <c r="N814" s="6"/>
      <c r="O814" s="6"/>
      <c r="P814" s="6"/>
      <c r="Q814" s="6"/>
      <c r="R814" s="6"/>
      <c r="S814" s="6"/>
      <c r="T814" s="6"/>
      <c r="U814"/>
      <c r="V814"/>
      <c r="W814"/>
      <c r="X814"/>
    </row>
    <row r="815" spans="1:24" x14ac:dyDescent="0.2">
      <c r="A815" s="44"/>
      <c r="B815" s="44"/>
      <c r="C815" s="44"/>
      <c r="D815" s="44"/>
      <c r="E815" s="44"/>
      <c r="F815" s="58"/>
      <c r="G815" s="32"/>
      <c r="H815" s="58"/>
      <c r="I815" s="58"/>
      <c r="J815" s="59"/>
      <c r="K815" s="58"/>
      <c r="L815" s="6"/>
      <c r="M815" s="6"/>
      <c r="N815" s="6"/>
      <c r="O815" s="6"/>
      <c r="P815" s="6"/>
      <c r="Q815" s="6"/>
      <c r="R815" s="6"/>
      <c r="S815" s="6"/>
      <c r="T815" s="6"/>
      <c r="U815"/>
      <c r="V815"/>
      <c r="W815"/>
      <c r="X815"/>
    </row>
    <row r="816" spans="1:24" x14ac:dyDescent="0.2">
      <c r="A816" s="44"/>
      <c r="B816" s="44"/>
      <c r="C816" s="44"/>
      <c r="D816" s="44"/>
      <c r="E816" s="44"/>
      <c r="F816" s="58"/>
      <c r="G816" s="32"/>
      <c r="H816" s="58"/>
      <c r="I816" s="58"/>
      <c r="J816" s="59"/>
      <c r="K816" s="58"/>
      <c r="L816" s="6"/>
      <c r="M816" s="6"/>
      <c r="N816" s="6"/>
      <c r="O816" s="6"/>
      <c r="P816" s="6"/>
      <c r="Q816" s="6"/>
      <c r="R816" s="6"/>
      <c r="S816" s="6"/>
      <c r="T816" s="6"/>
      <c r="U816"/>
      <c r="V816"/>
      <c r="W816"/>
      <c r="X816"/>
    </row>
    <row r="817" spans="1:24" x14ac:dyDescent="0.2">
      <c r="A817" s="44"/>
      <c r="B817" s="44"/>
      <c r="C817" s="44"/>
      <c r="D817" s="44"/>
      <c r="E817" s="44"/>
      <c r="F817" s="58"/>
      <c r="G817" s="32"/>
      <c r="H817" s="58"/>
      <c r="I817" s="58"/>
      <c r="J817" s="59"/>
      <c r="K817" s="58"/>
      <c r="L817" s="6"/>
      <c r="M817" s="6"/>
      <c r="N817" s="6"/>
      <c r="O817" s="6"/>
      <c r="P817" s="6"/>
      <c r="Q817" s="6"/>
      <c r="R817" s="6"/>
      <c r="S817" s="6"/>
      <c r="T817" s="6"/>
      <c r="U817"/>
      <c r="V817"/>
      <c r="W817"/>
      <c r="X817"/>
    </row>
    <row r="818" spans="1:24" x14ac:dyDescent="0.2">
      <c r="A818" s="44"/>
      <c r="B818" s="44"/>
      <c r="C818" s="44"/>
      <c r="D818" s="44"/>
      <c r="E818" s="44"/>
      <c r="F818" s="58"/>
      <c r="G818" s="32"/>
      <c r="H818" s="58"/>
      <c r="I818" s="58"/>
      <c r="J818" s="59"/>
      <c r="K818" s="58"/>
      <c r="L818" s="6"/>
      <c r="M818" s="6"/>
      <c r="N818" s="6"/>
      <c r="O818" s="6"/>
      <c r="P818" s="6"/>
      <c r="Q818" s="6"/>
      <c r="R818" s="6"/>
      <c r="S818" s="6"/>
      <c r="T818" s="6"/>
      <c r="U818"/>
      <c r="V818"/>
      <c r="W818"/>
      <c r="X818"/>
    </row>
    <row r="819" spans="1:24" x14ac:dyDescent="0.2">
      <c r="A819" s="44"/>
      <c r="B819" s="44"/>
      <c r="C819" s="44"/>
      <c r="D819" s="44"/>
      <c r="E819" s="44"/>
      <c r="F819" s="58"/>
      <c r="G819" s="32"/>
      <c r="H819" s="58"/>
      <c r="I819" s="58"/>
      <c r="J819" s="59"/>
      <c r="K819" s="58"/>
      <c r="L819" s="6"/>
      <c r="M819" s="6"/>
      <c r="N819" s="6"/>
      <c r="O819" s="6"/>
      <c r="P819" s="6"/>
      <c r="Q819" s="6"/>
      <c r="R819" s="6"/>
      <c r="S819" s="6"/>
      <c r="T819" s="6"/>
      <c r="U819"/>
      <c r="V819"/>
      <c r="W819"/>
      <c r="X819"/>
    </row>
    <row r="820" spans="1:24" x14ac:dyDescent="0.2">
      <c r="A820" s="44"/>
      <c r="B820" s="44"/>
      <c r="C820" s="44"/>
      <c r="D820" s="44"/>
      <c r="E820" s="44"/>
      <c r="F820" s="58"/>
      <c r="G820" s="32"/>
      <c r="H820" s="58"/>
      <c r="I820" s="58"/>
      <c r="J820" s="59"/>
      <c r="K820" s="58"/>
      <c r="L820" s="6"/>
      <c r="M820" s="6"/>
      <c r="N820" s="6"/>
      <c r="O820" s="6"/>
      <c r="P820" s="6"/>
      <c r="Q820" s="6"/>
      <c r="R820" s="6"/>
      <c r="S820" s="6"/>
      <c r="T820" s="6"/>
      <c r="U820"/>
      <c r="V820"/>
      <c r="W820"/>
      <c r="X820"/>
    </row>
    <row r="821" spans="1:24" x14ac:dyDescent="0.2">
      <c r="A821" s="44"/>
      <c r="B821" s="44"/>
      <c r="C821" s="44"/>
      <c r="D821" s="44"/>
      <c r="E821" s="44"/>
      <c r="F821" s="58"/>
      <c r="G821" s="32"/>
      <c r="H821" s="58"/>
      <c r="I821" s="58"/>
      <c r="J821" s="59"/>
      <c r="K821" s="58"/>
      <c r="L821" s="6"/>
      <c r="M821" s="6"/>
      <c r="N821" s="6"/>
      <c r="O821" s="6"/>
      <c r="P821" s="6"/>
      <c r="Q821" s="6"/>
      <c r="R821" s="6"/>
      <c r="S821" s="6"/>
      <c r="T821" s="6"/>
      <c r="U821"/>
      <c r="V821"/>
      <c r="W821"/>
      <c r="X821"/>
    </row>
    <row r="822" spans="1:24" x14ac:dyDescent="0.2">
      <c r="A822" s="44"/>
      <c r="B822" s="44"/>
      <c r="C822" s="44"/>
      <c r="D822" s="44"/>
      <c r="E822" s="44"/>
      <c r="F822" s="58"/>
      <c r="G822" s="32"/>
      <c r="H822" s="58"/>
      <c r="I822" s="58"/>
      <c r="J822" s="59"/>
      <c r="K822" s="58"/>
      <c r="L822" s="6"/>
      <c r="M822" s="6"/>
      <c r="N822" s="6"/>
      <c r="O822" s="6"/>
      <c r="P822" s="6"/>
      <c r="Q822" s="6"/>
      <c r="R822" s="6"/>
      <c r="S822" s="6"/>
      <c r="T822" s="6"/>
      <c r="U822"/>
      <c r="V822"/>
      <c r="W822"/>
      <c r="X822"/>
    </row>
    <row r="823" spans="1:24" x14ac:dyDescent="0.2">
      <c r="A823" s="44"/>
      <c r="B823" s="44"/>
      <c r="C823" s="44"/>
      <c r="D823" s="44"/>
      <c r="E823" s="44"/>
      <c r="F823" s="58"/>
      <c r="G823" s="32"/>
      <c r="H823" s="58"/>
      <c r="I823" s="58"/>
      <c r="J823" s="59"/>
      <c r="K823" s="58"/>
      <c r="L823" s="6"/>
      <c r="M823" s="6"/>
      <c r="N823" s="6"/>
      <c r="O823" s="6"/>
      <c r="P823" s="6"/>
      <c r="Q823" s="6"/>
      <c r="R823" s="6"/>
      <c r="S823" s="6"/>
      <c r="T823" s="6"/>
      <c r="U823"/>
      <c r="V823"/>
      <c r="W823"/>
      <c r="X823"/>
    </row>
    <row r="824" spans="1:24" x14ac:dyDescent="0.2">
      <c r="A824" s="44"/>
      <c r="B824" s="44"/>
      <c r="C824" s="44"/>
      <c r="D824" s="44"/>
      <c r="E824" s="44"/>
      <c r="F824" s="58"/>
      <c r="G824" s="32"/>
      <c r="H824" s="58"/>
      <c r="I824" s="58"/>
      <c r="J824" s="59"/>
      <c r="K824" s="58"/>
      <c r="L824" s="6"/>
      <c r="M824" s="6"/>
      <c r="N824" s="6"/>
      <c r="O824" s="6"/>
      <c r="P824" s="6"/>
      <c r="Q824" s="6"/>
      <c r="R824" s="6"/>
      <c r="S824" s="6"/>
      <c r="T824" s="6"/>
      <c r="U824"/>
      <c r="V824"/>
      <c r="W824"/>
      <c r="X824"/>
    </row>
    <row r="825" spans="1:24" x14ac:dyDescent="0.2">
      <c r="A825" s="44"/>
      <c r="B825" s="44"/>
      <c r="C825" s="44"/>
      <c r="D825" s="44"/>
      <c r="E825" s="44"/>
      <c r="F825" s="58"/>
      <c r="G825" s="32"/>
      <c r="H825" s="58"/>
      <c r="I825" s="58"/>
      <c r="J825" s="59"/>
      <c r="K825" s="58"/>
      <c r="L825" s="6"/>
      <c r="M825" s="6"/>
      <c r="N825" s="6"/>
      <c r="O825" s="6"/>
      <c r="P825" s="6"/>
      <c r="Q825" s="6"/>
      <c r="R825" s="6"/>
      <c r="S825" s="6"/>
      <c r="T825" s="6"/>
      <c r="U825"/>
      <c r="V825"/>
      <c r="W825"/>
      <c r="X825"/>
    </row>
    <row r="826" spans="1:24" x14ac:dyDescent="0.2">
      <c r="A826" s="44"/>
      <c r="B826" s="44"/>
      <c r="C826" s="44"/>
      <c r="D826" s="44"/>
      <c r="E826" s="44"/>
      <c r="F826" s="58"/>
      <c r="G826" s="32"/>
      <c r="H826" s="58"/>
      <c r="I826" s="58"/>
      <c r="J826" s="59"/>
      <c r="K826" s="58"/>
      <c r="L826" s="6"/>
      <c r="M826" s="6"/>
      <c r="N826" s="6"/>
      <c r="O826" s="6"/>
      <c r="P826" s="6"/>
      <c r="Q826" s="6"/>
      <c r="R826" s="6"/>
      <c r="S826" s="6"/>
      <c r="T826" s="6"/>
      <c r="U826"/>
      <c r="V826"/>
      <c r="W826"/>
      <c r="X826"/>
    </row>
    <row r="827" spans="1:24" x14ac:dyDescent="0.2">
      <c r="A827" s="44"/>
      <c r="B827" s="44"/>
      <c r="C827" s="44"/>
      <c r="D827" s="44"/>
      <c r="E827" s="44"/>
      <c r="F827" s="58"/>
      <c r="G827" s="32"/>
      <c r="H827" s="58"/>
      <c r="I827" s="58"/>
      <c r="J827" s="59"/>
      <c r="K827" s="58"/>
      <c r="L827" s="6"/>
      <c r="M827" s="6"/>
      <c r="N827" s="6"/>
      <c r="O827" s="6"/>
      <c r="P827" s="6"/>
      <c r="Q827" s="6"/>
      <c r="R827" s="6"/>
      <c r="S827" s="6"/>
      <c r="T827" s="6"/>
      <c r="U827"/>
      <c r="V827"/>
      <c r="W827"/>
      <c r="X827"/>
    </row>
    <row r="828" spans="1:24" x14ac:dyDescent="0.2">
      <c r="A828" s="44"/>
      <c r="B828" s="44"/>
      <c r="C828" s="44"/>
      <c r="D828" s="44"/>
      <c r="E828" s="44"/>
      <c r="F828" s="58"/>
      <c r="G828" s="32"/>
      <c r="H828" s="58"/>
      <c r="I828" s="58"/>
      <c r="J828" s="59"/>
      <c r="K828" s="58"/>
      <c r="L828" s="6"/>
      <c r="M828" s="6"/>
      <c r="N828" s="6"/>
      <c r="O828" s="6"/>
      <c r="P828" s="6"/>
      <c r="Q828" s="6"/>
      <c r="R828" s="6"/>
      <c r="S828" s="6"/>
      <c r="T828" s="6"/>
      <c r="U828"/>
      <c r="V828"/>
      <c r="W828"/>
      <c r="X828"/>
    </row>
    <row r="829" spans="1:24" x14ac:dyDescent="0.2">
      <c r="A829" s="44"/>
      <c r="B829" s="44"/>
      <c r="C829" s="44"/>
      <c r="D829" s="44"/>
      <c r="E829" s="44"/>
      <c r="F829" s="58"/>
      <c r="G829" s="32"/>
      <c r="H829" s="58"/>
      <c r="I829" s="58"/>
      <c r="J829" s="59"/>
      <c r="K829" s="58"/>
      <c r="L829" s="6"/>
      <c r="M829" s="6"/>
      <c r="N829" s="6"/>
      <c r="O829" s="6"/>
      <c r="P829" s="6"/>
      <c r="Q829" s="6"/>
      <c r="R829" s="6"/>
      <c r="S829" s="6"/>
      <c r="T829" s="6"/>
      <c r="U829"/>
      <c r="V829"/>
      <c r="W829"/>
      <c r="X829"/>
    </row>
    <row r="830" spans="1:24" x14ac:dyDescent="0.2">
      <c r="A830" s="44"/>
      <c r="B830" s="44"/>
      <c r="C830" s="44"/>
      <c r="D830" s="44"/>
      <c r="E830" s="44"/>
      <c r="F830" s="58"/>
      <c r="G830" s="32"/>
      <c r="H830" s="58"/>
      <c r="I830" s="58"/>
      <c r="J830" s="59"/>
      <c r="K830" s="58"/>
      <c r="L830" s="6"/>
      <c r="M830" s="6"/>
      <c r="N830" s="6"/>
      <c r="O830" s="6"/>
      <c r="P830" s="6"/>
      <c r="Q830" s="6"/>
      <c r="R830" s="6"/>
      <c r="S830" s="6"/>
      <c r="T830" s="6"/>
      <c r="U830"/>
      <c r="V830"/>
      <c r="W830"/>
      <c r="X830"/>
    </row>
    <row r="831" spans="1:24" x14ac:dyDescent="0.2">
      <c r="A831" s="44"/>
      <c r="B831" s="44"/>
      <c r="C831" s="44"/>
      <c r="D831" s="44"/>
      <c r="E831" s="44"/>
      <c r="F831" s="58"/>
      <c r="G831" s="32"/>
      <c r="H831" s="58"/>
      <c r="I831" s="58"/>
      <c r="J831" s="59"/>
      <c r="K831" s="58"/>
      <c r="L831" s="6"/>
      <c r="M831" s="6"/>
      <c r="N831" s="6"/>
      <c r="O831" s="6"/>
      <c r="P831" s="6"/>
      <c r="Q831" s="6"/>
      <c r="R831" s="6"/>
      <c r="S831" s="6"/>
      <c r="T831" s="6"/>
      <c r="U831"/>
      <c r="V831"/>
      <c r="W831"/>
      <c r="X831"/>
    </row>
    <row r="832" spans="1:24" x14ac:dyDescent="0.2">
      <c r="A832" s="44"/>
      <c r="B832" s="44"/>
      <c r="C832" s="44"/>
      <c r="D832" s="44"/>
      <c r="E832" s="44"/>
      <c r="F832" s="58"/>
      <c r="G832" s="32"/>
      <c r="H832" s="58"/>
      <c r="I832" s="58"/>
      <c r="J832" s="59"/>
      <c r="K832" s="58"/>
      <c r="L832" s="6"/>
      <c r="M832" s="6"/>
      <c r="N832" s="6"/>
      <c r="O832" s="6"/>
      <c r="P832" s="6"/>
      <c r="Q832" s="6"/>
      <c r="R832" s="6"/>
      <c r="S832" s="6"/>
      <c r="T832" s="6"/>
      <c r="U832"/>
      <c r="V832"/>
      <c r="W832"/>
      <c r="X832"/>
    </row>
    <row r="833" spans="1:24" x14ac:dyDescent="0.2">
      <c r="A833" s="44"/>
      <c r="B833" s="44"/>
      <c r="C833" s="44"/>
      <c r="D833" s="44"/>
      <c r="E833" s="44"/>
      <c r="F833" s="58"/>
      <c r="G833" s="32"/>
      <c r="H833" s="58"/>
      <c r="I833" s="58"/>
      <c r="J833" s="59"/>
      <c r="K833" s="58"/>
      <c r="L833" s="6"/>
      <c r="M833" s="6"/>
      <c r="N833" s="6"/>
      <c r="O833" s="6"/>
      <c r="P833" s="6"/>
      <c r="Q833" s="6"/>
      <c r="R833" s="6"/>
      <c r="S833" s="6"/>
      <c r="T833" s="6"/>
      <c r="U833"/>
      <c r="V833"/>
      <c r="W833"/>
      <c r="X833"/>
    </row>
    <row r="834" spans="1:24" x14ac:dyDescent="0.2">
      <c r="A834" s="44"/>
      <c r="B834" s="44"/>
      <c r="C834" s="44"/>
      <c r="D834" s="44"/>
      <c r="E834" s="44"/>
      <c r="F834" s="58"/>
      <c r="G834" s="32"/>
      <c r="H834" s="58"/>
      <c r="I834" s="58"/>
      <c r="J834" s="59"/>
      <c r="K834" s="58"/>
      <c r="L834" s="6"/>
      <c r="M834" s="6"/>
      <c r="N834" s="6"/>
      <c r="O834" s="6"/>
      <c r="P834" s="6"/>
      <c r="Q834" s="6"/>
      <c r="R834" s="6"/>
      <c r="S834" s="6"/>
      <c r="T834" s="6"/>
      <c r="U834"/>
      <c r="V834"/>
      <c r="W834"/>
      <c r="X834"/>
    </row>
    <row r="835" spans="1:24" x14ac:dyDescent="0.2">
      <c r="A835" s="44"/>
      <c r="B835" s="44"/>
      <c r="C835" s="44"/>
      <c r="D835" s="44"/>
      <c r="E835" s="44"/>
      <c r="F835" s="58"/>
      <c r="G835" s="32"/>
      <c r="H835" s="58"/>
      <c r="I835" s="58"/>
      <c r="J835" s="59"/>
      <c r="K835" s="58"/>
      <c r="L835" s="6"/>
      <c r="M835" s="6"/>
      <c r="N835" s="6"/>
      <c r="O835" s="6"/>
      <c r="P835" s="6"/>
      <c r="Q835" s="6"/>
      <c r="R835" s="6"/>
      <c r="S835" s="6"/>
      <c r="T835" s="6"/>
      <c r="U835"/>
      <c r="V835"/>
      <c r="W835"/>
      <c r="X835"/>
    </row>
    <row r="836" spans="1:24" x14ac:dyDescent="0.2">
      <c r="A836" s="44"/>
      <c r="B836" s="44"/>
      <c r="C836" s="44"/>
      <c r="D836" s="44"/>
      <c r="E836" s="44"/>
      <c r="F836" s="58"/>
      <c r="G836" s="32"/>
      <c r="H836" s="58"/>
      <c r="I836" s="58"/>
      <c r="J836" s="59"/>
      <c r="K836" s="58"/>
      <c r="L836" s="6"/>
      <c r="M836" s="6"/>
      <c r="N836" s="6"/>
      <c r="O836" s="6"/>
      <c r="P836" s="6"/>
      <c r="Q836" s="6"/>
      <c r="R836" s="6"/>
      <c r="S836" s="6"/>
      <c r="T836" s="6"/>
      <c r="U836"/>
      <c r="V836"/>
      <c r="W836"/>
      <c r="X836"/>
    </row>
    <row r="837" spans="1:24" x14ac:dyDescent="0.2">
      <c r="A837" s="44"/>
      <c r="B837" s="44"/>
      <c r="C837" s="44"/>
      <c r="D837" s="44"/>
      <c r="E837" s="44"/>
      <c r="F837" s="58"/>
      <c r="G837" s="32"/>
      <c r="H837" s="58"/>
      <c r="I837" s="58"/>
      <c r="J837" s="59"/>
      <c r="K837" s="58"/>
      <c r="L837" s="6"/>
      <c r="M837" s="6"/>
      <c r="N837" s="6"/>
      <c r="O837" s="6"/>
      <c r="P837" s="6"/>
      <c r="Q837" s="6"/>
      <c r="R837" s="6"/>
      <c r="S837" s="6"/>
      <c r="T837" s="6"/>
      <c r="U837"/>
      <c r="V837"/>
      <c r="W837"/>
      <c r="X837"/>
    </row>
    <row r="838" spans="1:24" x14ac:dyDescent="0.2">
      <c r="A838" s="44"/>
      <c r="B838" s="44"/>
      <c r="C838" s="44"/>
      <c r="D838" s="44"/>
      <c r="E838" s="44"/>
      <c r="F838" s="58"/>
      <c r="G838" s="32"/>
      <c r="H838" s="58"/>
      <c r="I838" s="58"/>
      <c r="J838" s="59"/>
      <c r="K838" s="58"/>
      <c r="L838" s="6"/>
      <c r="M838" s="6"/>
      <c r="N838" s="6"/>
      <c r="O838" s="6"/>
      <c r="P838" s="6"/>
      <c r="Q838" s="6"/>
      <c r="R838" s="6"/>
      <c r="S838" s="6"/>
      <c r="T838" s="6"/>
      <c r="U838"/>
      <c r="V838"/>
      <c r="W838"/>
      <c r="X838"/>
    </row>
    <row r="839" spans="1:24" x14ac:dyDescent="0.2">
      <c r="A839" s="44"/>
      <c r="B839" s="44"/>
      <c r="C839" s="44"/>
      <c r="D839" s="44"/>
      <c r="E839" s="44"/>
      <c r="F839" s="58"/>
      <c r="G839" s="32"/>
      <c r="H839" s="58"/>
      <c r="I839" s="58"/>
      <c r="J839" s="59"/>
      <c r="K839" s="58"/>
      <c r="L839" s="6"/>
      <c r="M839" s="6"/>
      <c r="N839" s="6"/>
      <c r="O839" s="6"/>
      <c r="P839" s="6"/>
      <c r="Q839" s="6"/>
      <c r="R839" s="6"/>
      <c r="S839" s="6"/>
      <c r="T839" s="6"/>
      <c r="U839"/>
      <c r="V839"/>
      <c r="W839"/>
      <c r="X839"/>
    </row>
    <row r="840" spans="1:24" x14ac:dyDescent="0.2">
      <c r="A840" s="44"/>
      <c r="B840" s="44"/>
      <c r="C840" s="44"/>
      <c r="D840" s="44"/>
      <c r="E840" s="44"/>
      <c r="F840" s="58"/>
      <c r="G840" s="32"/>
      <c r="H840" s="58"/>
      <c r="I840" s="58"/>
      <c r="J840" s="59"/>
      <c r="K840" s="58"/>
      <c r="L840" s="6"/>
      <c r="M840" s="6"/>
      <c r="N840" s="6"/>
      <c r="O840" s="6"/>
      <c r="P840" s="6"/>
      <c r="Q840" s="6"/>
      <c r="R840" s="6"/>
      <c r="S840" s="6"/>
      <c r="T840" s="6"/>
      <c r="U840"/>
      <c r="V840"/>
      <c r="W840"/>
      <c r="X840"/>
    </row>
    <row r="841" spans="1:24" x14ac:dyDescent="0.2">
      <c r="A841" s="44"/>
      <c r="B841" s="44"/>
      <c r="C841" s="44"/>
      <c r="D841" s="44"/>
      <c r="E841" s="44"/>
      <c r="F841" s="58"/>
      <c r="G841" s="32"/>
      <c r="H841" s="58"/>
      <c r="I841" s="58"/>
      <c r="J841" s="59"/>
      <c r="K841" s="58"/>
      <c r="L841" s="6"/>
      <c r="M841" s="6"/>
      <c r="N841" s="6"/>
      <c r="O841" s="6"/>
      <c r="P841" s="6"/>
      <c r="Q841" s="6"/>
      <c r="R841" s="6"/>
      <c r="S841" s="6"/>
      <c r="T841" s="6"/>
      <c r="U841"/>
      <c r="V841"/>
      <c r="W841"/>
      <c r="X841"/>
    </row>
    <row r="842" spans="1:24" x14ac:dyDescent="0.2">
      <c r="A842" s="44"/>
      <c r="B842" s="44"/>
      <c r="C842" s="44"/>
      <c r="D842" s="44"/>
      <c r="E842" s="44"/>
      <c r="F842" s="58"/>
      <c r="G842" s="32"/>
      <c r="H842" s="58"/>
      <c r="I842" s="58"/>
      <c r="J842" s="59"/>
      <c r="K842" s="58"/>
      <c r="L842" s="6"/>
      <c r="M842" s="6"/>
      <c r="N842" s="6"/>
      <c r="O842" s="6"/>
      <c r="P842" s="6"/>
      <c r="Q842" s="6"/>
      <c r="R842" s="6"/>
      <c r="S842" s="6"/>
      <c r="T842" s="6"/>
      <c r="U842"/>
      <c r="V842"/>
      <c r="W842"/>
      <c r="X842"/>
    </row>
    <row r="843" spans="1:24" x14ac:dyDescent="0.2">
      <c r="A843" s="44"/>
      <c r="B843" s="44"/>
      <c r="C843" s="44"/>
      <c r="D843" s="44"/>
      <c r="E843" s="44"/>
      <c r="F843" s="58"/>
      <c r="G843" s="32"/>
      <c r="H843" s="58"/>
      <c r="I843" s="58"/>
      <c r="J843" s="59"/>
      <c r="K843" s="58"/>
      <c r="L843" s="6"/>
      <c r="M843" s="6"/>
      <c r="N843" s="6"/>
      <c r="O843" s="6"/>
      <c r="P843" s="6"/>
      <c r="Q843" s="6"/>
      <c r="R843" s="6"/>
      <c r="S843" s="6"/>
      <c r="T843" s="6"/>
      <c r="U843"/>
      <c r="V843"/>
      <c r="W843"/>
      <c r="X843"/>
    </row>
    <row r="844" spans="1:24" x14ac:dyDescent="0.2">
      <c r="A844" s="44"/>
      <c r="B844" s="44"/>
      <c r="C844" s="44"/>
      <c r="D844" s="44"/>
      <c r="E844" s="44"/>
      <c r="F844" s="58"/>
      <c r="G844" s="32"/>
      <c r="H844" s="58"/>
      <c r="I844" s="58"/>
      <c r="J844" s="59"/>
      <c r="K844" s="58"/>
      <c r="L844" s="6"/>
      <c r="M844" s="6"/>
      <c r="N844" s="6"/>
      <c r="O844" s="6"/>
      <c r="P844" s="6"/>
      <c r="Q844" s="6"/>
      <c r="R844" s="6"/>
      <c r="S844" s="6"/>
      <c r="T844" s="6"/>
      <c r="U844"/>
      <c r="V844"/>
      <c r="W844"/>
      <c r="X844"/>
    </row>
    <row r="845" spans="1:24" x14ac:dyDescent="0.2">
      <c r="A845" s="44"/>
      <c r="B845" s="44"/>
      <c r="C845" s="44"/>
      <c r="D845" s="44"/>
      <c r="E845" s="44"/>
      <c r="F845" s="58"/>
      <c r="G845" s="32"/>
      <c r="H845" s="58"/>
      <c r="I845" s="58"/>
      <c r="J845" s="59"/>
      <c r="K845" s="58"/>
      <c r="L845" s="6"/>
      <c r="M845" s="6"/>
      <c r="N845" s="6"/>
      <c r="O845" s="6"/>
      <c r="P845" s="6"/>
      <c r="Q845" s="6"/>
      <c r="R845" s="6"/>
      <c r="S845" s="6"/>
      <c r="T845" s="6"/>
      <c r="U845"/>
      <c r="V845"/>
      <c r="W845"/>
      <c r="X845"/>
    </row>
    <row r="846" spans="1:24" x14ac:dyDescent="0.2">
      <c r="A846" s="44"/>
      <c r="B846" s="44"/>
      <c r="C846" s="44"/>
      <c r="D846" s="44"/>
      <c r="E846" s="44"/>
      <c r="F846" s="58"/>
      <c r="G846" s="32"/>
      <c r="H846" s="58"/>
      <c r="I846" s="58"/>
      <c r="J846" s="59"/>
      <c r="K846" s="58"/>
      <c r="L846" s="6"/>
      <c r="M846" s="6"/>
      <c r="N846" s="6"/>
      <c r="O846" s="6"/>
      <c r="P846" s="6"/>
      <c r="Q846" s="6"/>
      <c r="R846" s="6"/>
      <c r="S846" s="6"/>
      <c r="T846" s="6"/>
      <c r="U846"/>
      <c r="V846"/>
      <c r="W846"/>
      <c r="X846"/>
    </row>
    <row r="847" spans="1:24" x14ac:dyDescent="0.2">
      <c r="A847" s="44"/>
      <c r="B847" s="44"/>
      <c r="C847" s="44"/>
      <c r="D847" s="44"/>
      <c r="E847" s="44"/>
      <c r="F847" s="58"/>
      <c r="G847" s="32"/>
      <c r="H847" s="58"/>
      <c r="I847" s="58"/>
      <c r="J847" s="59"/>
      <c r="K847" s="58"/>
      <c r="L847" s="6"/>
      <c r="M847" s="6"/>
      <c r="N847" s="6"/>
      <c r="O847" s="6"/>
      <c r="P847" s="6"/>
      <c r="Q847" s="6"/>
      <c r="R847" s="6"/>
      <c r="S847" s="6"/>
      <c r="T847" s="6"/>
      <c r="U847"/>
      <c r="V847"/>
      <c r="W847"/>
      <c r="X847"/>
    </row>
    <row r="848" spans="1:24" x14ac:dyDescent="0.2">
      <c r="A848" s="44"/>
      <c r="B848" s="44"/>
      <c r="C848" s="44"/>
      <c r="D848" s="44"/>
      <c r="E848" s="44"/>
      <c r="F848" s="58"/>
      <c r="G848" s="32"/>
      <c r="H848" s="58"/>
      <c r="I848" s="58"/>
      <c r="J848" s="59"/>
      <c r="K848" s="58"/>
      <c r="L848" s="6"/>
      <c r="M848" s="6"/>
      <c r="N848" s="6"/>
      <c r="O848" s="6"/>
      <c r="P848" s="6"/>
      <c r="Q848" s="6"/>
      <c r="R848" s="6"/>
      <c r="S848" s="6"/>
      <c r="T848" s="6"/>
      <c r="U848"/>
      <c r="V848"/>
      <c r="W848"/>
      <c r="X848"/>
    </row>
    <row r="849" spans="1:24" x14ac:dyDescent="0.2">
      <c r="A849" s="44"/>
      <c r="B849" s="44"/>
      <c r="C849" s="44"/>
      <c r="D849" s="44"/>
      <c r="E849" s="44"/>
      <c r="F849" s="58"/>
      <c r="G849" s="32"/>
      <c r="H849" s="58"/>
      <c r="I849" s="58"/>
      <c r="J849" s="59"/>
      <c r="K849" s="58"/>
      <c r="L849" s="6"/>
      <c r="M849" s="6"/>
      <c r="N849" s="6"/>
      <c r="O849" s="6"/>
      <c r="P849" s="6"/>
      <c r="Q849" s="6"/>
      <c r="R849" s="6"/>
      <c r="S849" s="6"/>
      <c r="T849" s="6"/>
      <c r="U849"/>
      <c r="V849"/>
      <c r="W849"/>
      <c r="X849"/>
    </row>
    <row r="850" spans="1:24" x14ac:dyDescent="0.2">
      <c r="A850" s="44"/>
      <c r="B850" s="44"/>
      <c r="C850" s="44"/>
      <c r="D850" s="44"/>
      <c r="E850" s="44"/>
      <c r="F850" s="58"/>
      <c r="G850" s="32"/>
      <c r="H850" s="58"/>
      <c r="I850" s="58"/>
      <c r="J850" s="59"/>
      <c r="K850" s="58"/>
      <c r="L850" s="6"/>
      <c r="M850" s="6"/>
      <c r="N850" s="6"/>
      <c r="O850" s="6"/>
      <c r="P850" s="6"/>
      <c r="Q850" s="6"/>
      <c r="R850" s="6"/>
      <c r="S850" s="6"/>
      <c r="T850" s="6"/>
      <c r="U850"/>
      <c r="V850"/>
      <c r="W850"/>
      <c r="X850"/>
    </row>
    <row r="851" spans="1:24" x14ac:dyDescent="0.2">
      <c r="A851" s="44"/>
      <c r="B851" s="44"/>
      <c r="C851" s="44"/>
      <c r="D851" s="44"/>
      <c r="E851" s="44"/>
      <c r="F851" s="58"/>
      <c r="G851" s="32"/>
      <c r="H851" s="58"/>
      <c r="I851" s="58"/>
      <c r="J851" s="59"/>
      <c r="K851" s="58"/>
      <c r="L851" s="6"/>
      <c r="M851" s="6"/>
      <c r="N851" s="6"/>
      <c r="O851" s="6"/>
      <c r="P851" s="6"/>
      <c r="Q851" s="6"/>
      <c r="R851" s="6"/>
      <c r="S851" s="6"/>
      <c r="T851" s="6"/>
      <c r="U851"/>
      <c r="V851"/>
      <c r="W851"/>
      <c r="X851"/>
    </row>
    <row r="852" spans="1:24" x14ac:dyDescent="0.2">
      <c r="A852" s="44"/>
      <c r="B852" s="44"/>
      <c r="C852" s="44"/>
      <c r="D852" s="44"/>
      <c r="E852" s="44"/>
      <c r="F852" s="58"/>
      <c r="G852" s="32"/>
      <c r="H852" s="58"/>
      <c r="I852" s="58"/>
      <c r="J852" s="59"/>
      <c r="K852" s="58"/>
      <c r="L852" s="6"/>
      <c r="M852" s="6"/>
      <c r="N852" s="6"/>
      <c r="O852" s="6"/>
      <c r="P852" s="6"/>
      <c r="Q852" s="6"/>
      <c r="R852" s="6"/>
      <c r="S852" s="6"/>
      <c r="T852" s="6"/>
      <c r="U852"/>
      <c r="V852"/>
      <c r="W852"/>
      <c r="X852"/>
    </row>
    <row r="853" spans="1:24" x14ac:dyDescent="0.2">
      <c r="A853" s="44"/>
      <c r="B853" s="44"/>
      <c r="C853" s="44"/>
      <c r="D853" s="44"/>
      <c r="E853" s="44"/>
      <c r="F853" s="58"/>
      <c r="G853" s="32"/>
      <c r="H853" s="58"/>
      <c r="I853" s="58"/>
      <c r="J853" s="59"/>
      <c r="K853" s="58"/>
      <c r="L853" s="6"/>
      <c r="M853" s="6"/>
      <c r="N853" s="6"/>
      <c r="O853" s="6"/>
      <c r="P853" s="6"/>
      <c r="Q853" s="6"/>
      <c r="R853" s="6"/>
      <c r="S853" s="6"/>
      <c r="T853" s="6"/>
      <c r="U853"/>
      <c r="V853"/>
      <c r="W853"/>
      <c r="X853"/>
    </row>
    <row r="854" spans="1:24" x14ac:dyDescent="0.2">
      <c r="A854" s="44"/>
      <c r="B854" s="44"/>
      <c r="C854" s="44"/>
      <c r="D854" s="44"/>
      <c r="E854" s="44"/>
      <c r="F854" s="58"/>
      <c r="G854" s="32"/>
      <c r="H854" s="58"/>
      <c r="I854" s="58"/>
      <c r="J854" s="59"/>
      <c r="K854" s="58"/>
      <c r="L854" s="6"/>
      <c r="M854" s="6"/>
      <c r="N854" s="6"/>
      <c r="O854" s="6"/>
      <c r="P854" s="6"/>
      <c r="Q854" s="6"/>
      <c r="R854" s="6"/>
      <c r="S854" s="6"/>
      <c r="T854" s="6"/>
      <c r="U854"/>
      <c r="V854"/>
      <c r="W854"/>
      <c r="X854"/>
    </row>
    <row r="855" spans="1:24" x14ac:dyDescent="0.2">
      <c r="A855" s="44"/>
      <c r="B855" s="44"/>
      <c r="C855" s="44"/>
      <c r="D855" s="44"/>
      <c r="E855" s="44"/>
      <c r="F855" s="58"/>
      <c r="G855" s="32"/>
      <c r="H855" s="58"/>
      <c r="I855" s="58"/>
      <c r="J855" s="59"/>
      <c r="K855" s="58"/>
      <c r="L855" s="6"/>
      <c r="M855" s="6"/>
      <c r="N855" s="6"/>
      <c r="O855" s="6"/>
      <c r="P855" s="6"/>
      <c r="Q855" s="6"/>
      <c r="R855" s="6"/>
      <c r="S855" s="6"/>
      <c r="T855" s="6"/>
      <c r="U855"/>
      <c r="V855"/>
      <c r="W855"/>
      <c r="X855"/>
    </row>
    <row r="856" spans="1:24" x14ac:dyDescent="0.2">
      <c r="A856" s="44"/>
      <c r="B856" s="44"/>
      <c r="C856" s="44"/>
      <c r="D856" s="44"/>
      <c r="E856" s="44"/>
      <c r="F856" s="58"/>
      <c r="G856" s="32"/>
      <c r="H856" s="58"/>
      <c r="I856" s="58"/>
      <c r="J856" s="59"/>
      <c r="K856" s="58"/>
      <c r="L856" s="6"/>
      <c r="M856" s="6"/>
      <c r="N856" s="6"/>
      <c r="O856" s="6"/>
      <c r="P856" s="6"/>
      <c r="Q856" s="6"/>
      <c r="R856" s="6"/>
      <c r="S856" s="6"/>
      <c r="T856" s="6"/>
      <c r="U856"/>
      <c r="V856"/>
      <c r="W856"/>
      <c r="X856"/>
    </row>
    <row r="857" spans="1:24" x14ac:dyDescent="0.2">
      <c r="A857" s="44"/>
      <c r="B857" s="44"/>
      <c r="C857" s="44"/>
      <c r="D857" s="44"/>
      <c r="E857" s="44"/>
      <c r="F857" s="58"/>
      <c r="G857" s="32"/>
      <c r="H857" s="58"/>
      <c r="I857" s="58"/>
      <c r="J857" s="59"/>
      <c r="K857" s="58"/>
      <c r="L857" s="6"/>
      <c r="M857" s="6"/>
      <c r="N857" s="6"/>
      <c r="O857" s="6"/>
      <c r="P857" s="6"/>
      <c r="Q857" s="6"/>
      <c r="R857" s="6"/>
      <c r="S857" s="6"/>
      <c r="T857" s="6"/>
      <c r="U857"/>
      <c r="V857"/>
      <c r="W857"/>
      <c r="X857"/>
    </row>
    <row r="858" spans="1:24" x14ac:dyDescent="0.2">
      <c r="A858" s="44"/>
      <c r="B858" s="44"/>
      <c r="C858" s="44"/>
      <c r="D858" s="44"/>
      <c r="E858" s="44"/>
      <c r="F858" s="58"/>
      <c r="G858" s="32"/>
      <c r="H858" s="58"/>
      <c r="I858" s="58"/>
      <c r="J858" s="59"/>
      <c r="K858" s="58"/>
      <c r="L858" s="6"/>
      <c r="M858" s="6"/>
      <c r="N858" s="6"/>
      <c r="O858" s="6"/>
      <c r="P858" s="6"/>
      <c r="Q858" s="6"/>
      <c r="R858" s="6"/>
      <c r="S858" s="6"/>
      <c r="T858" s="6"/>
      <c r="U858"/>
      <c r="V858"/>
      <c r="W858"/>
      <c r="X858"/>
    </row>
    <row r="859" spans="1:24" x14ac:dyDescent="0.2">
      <c r="A859" s="44"/>
      <c r="B859" s="44"/>
      <c r="C859" s="44"/>
      <c r="D859" s="44"/>
      <c r="E859" s="44"/>
      <c r="F859" s="58"/>
      <c r="G859" s="32"/>
      <c r="H859" s="58"/>
      <c r="I859" s="58"/>
      <c r="J859" s="59"/>
      <c r="K859" s="58"/>
      <c r="L859" s="6"/>
      <c r="M859" s="6"/>
      <c r="N859" s="6"/>
      <c r="O859" s="6"/>
      <c r="P859" s="6"/>
      <c r="Q859" s="6"/>
      <c r="R859" s="6"/>
      <c r="S859" s="6"/>
      <c r="T859" s="6"/>
      <c r="U859"/>
      <c r="V859"/>
      <c r="W859"/>
      <c r="X859"/>
    </row>
    <row r="860" spans="1:24" x14ac:dyDescent="0.2">
      <c r="A860" s="44"/>
      <c r="B860" s="44"/>
      <c r="C860" s="44"/>
      <c r="D860" s="44"/>
      <c r="E860" s="44"/>
      <c r="F860" s="58"/>
      <c r="G860" s="32"/>
      <c r="H860" s="58"/>
      <c r="I860" s="58"/>
      <c r="J860" s="59"/>
      <c r="K860" s="58"/>
      <c r="L860" s="6"/>
      <c r="M860" s="6"/>
      <c r="N860" s="6"/>
      <c r="O860" s="6"/>
      <c r="P860" s="6"/>
      <c r="Q860" s="6"/>
      <c r="R860" s="6"/>
      <c r="S860" s="6"/>
      <c r="T860" s="6"/>
      <c r="U860"/>
      <c r="V860"/>
      <c r="W860"/>
      <c r="X860"/>
    </row>
    <row r="861" spans="1:24" x14ac:dyDescent="0.2">
      <c r="A861" s="44"/>
      <c r="B861" s="44"/>
      <c r="C861" s="44"/>
      <c r="D861" s="44"/>
      <c r="E861" s="44"/>
      <c r="F861" s="58"/>
      <c r="G861" s="32"/>
      <c r="H861" s="58"/>
      <c r="I861" s="58"/>
      <c r="J861" s="59"/>
      <c r="K861" s="58"/>
      <c r="L861" s="6"/>
      <c r="M861" s="6"/>
      <c r="N861" s="6"/>
      <c r="O861" s="6"/>
      <c r="P861" s="6"/>
      <c r="Q861" s="6"/>
      <c r="R861" s="6"/>
      <c r="S861" s="6"/>
      <c r="T861" s="6"/>
      <c r="U861"/>
      <c r="V861"/>
      <c r="W861"/>
      <c r="X861"/>
    </row>
    <row r="862" spans="1:24" x14ac:dyDescent="0.2">
      <c r="A862" s="44"/>
      <c r="B862" s="44"/>
      <c r="C862" s="44"/>
      <c r="D862" s="44"/>
      <c r="E862" s="44"/>
      <c r="F862" s="58"/>
      <c r="G862" s="32"/>
      <c r="H862" s="58"/>
      <c r="I862" s="58"/>
      <c r="J862" s="59"/>
      <c r="K862" s="58"/>
      <c r="L862" s="6"/>
      <c r="M862" s="6"/>
      <c r="N862" s="6"/>
      <c r="O862" s="6"/>
      <c r="P862" s="6"/>
      <c r="Q862" s="6"/>
      <c r="R862" s="6"/>
      <c r="S862" s="6"/>
      <c r="T862" s="6"/>
      <c r="U862"/>
      <c r="V862"/>
      <c r="W862"/>
      <c r="X862"/>
    </row>
    <row r="863" spans="1:24" x14ac:dyDescent="0.2">
      <c r="A863" s="44"/>
      <c r="B863" s="44"/>
      <c r="C863" s="44"/>
      <c r="D863" s="44"/>
      <c r="E863" s="44"/>
      <c r="F863" s="58"/>
      <c r="G863" s="32"/>
      <c r="H863" s="58"/>
      <c r="I863" s="58"/>
      <c r="J863" s="59"/>
      <c r="K863" s="58"/>
      <c r="L863" s="6"/>
      <c r="M863" s="6"/>
      <c r="N863" s="6"/>
      <c r="O863" s="6"/>
      <c r="P863" s="6"/>
      <c r="Q863" s="6"/>
      <c r="R863" s="6"/>
      <c r="S863" s="6"/>
      <c r="T863" s="6"/>
      <c r="U863"/>
      <c r="V863"/>
      <c r="W863"/>
      <c r="X863"/>
    </row>
    <row r="864" spans="1:24" x14ac:dyDescent="0.2">
      <c r="A864" s="44"/>
      <c r="B864" s="44"/>
      <c r="C864" s="44"/>
      <c r="D864" s="44"/>
      <c r="E864" s="44"/>
      <c r="F864" s="58"/>
      <c r="G864" s="32"/>
      <c r="H864" s="58"/>
      <c r="I864" s="58"/>
      <c r="J864" s="59"/>
      <c r="K864" s="58"/>
      <c r="L864" s="6"/>
      <c r="M864" s="6"/>
      <c r="N864" s="6"/>
      <c r="O864" s="6"/>
      <c r="P864" s="6"/>
      <c r="Q864" s="6"/>
      <c r="R864" s="6"/>
      <c r="S864" s="6"/>
      <c r="T864" s="6"/>
      <c r="U864"/>
      <c r="V864"/>
      <c r="W864"/>
      <c r="X864"/>
    </row>
    <row r="865" spans="1:24" x14ac:dyDescent="0.2">
      <c r="A865" s="44"/>
      <c r="B865" s="44"/>
      <c r="C865" s="44"/>
      <c r="D865" s="44"/>
      <c r="E865" s="44"/>
      <c r="F865" s="58"/>
      <c r="G865" s="32"/>
      <c r="H865" s="58"/>
      <c r="I865" s="58"/>
      <c r="J865" s="59"/>
      <c r="K865" s="58"/>
      <c r="L865" s="6"/>
      <c r="M865" s="6"/>
      <c r="N865" s="6"/>
      <c r="O865" s="6"/>
      <c r="P865" s="6"/>
      <c r="Q865" s="6"/>
      <c r="R865" s="6"/>
      <c r="S865" s="6"/>
      <c r="T865" s="6"/>
      <c r="U865"/>
      <c r="V865"/>
      <c r="W865"/>
      <c r="X865"/>
    </row>
    <row r="866" spans="1:24" x14ac:dyDescent="0.2">
      <c r="A866" s="44"/>
      <c r="B866" s="44"/>
      <c r="C866" s="44"/>
      <c r="D866" s="44"/>
      <c r="E866" s="44"/>
      <c r="F866" s="58"/>
      <c r="G866" s="32"/>
      <c r="H866" s="58"/>
      <c r="I866" s="58"/>
      <c r="J866" s="59"/>
      <c r="K866" s="58"/>
      <c r="L866" s="6"/>
      <c r="M866" s="6"/>
      <c r="N866" s="6"/>
      <c r="O866" s="6"/>
      <c r="P866" s="6"/>
      <c r="Q866" s="6"/>
      <c r="R866" s="6"/>
      <c r="S866" s="6"/>
      <c r="T866" s="6"/>
      <c r="U866"/>
      <c r="V866"/>
      <c r="W866"/>
      <c r="X866"/>
    </row>
    <row r="867" spans="1:24" x14ac:dyDescent="0.2">
      <c r="A867" s="44"/>
      <c r="B867" s="44"/>
      <c r="C867" s="44"/>
      <c r="D867" s="44"/>
      <c r="E867" s="44"/>
      <c r="F867" s="58"/>
      <c r="G867" s="32"/>
      <c r="H867" s="58"/>
      <c r="I867" s="58"/>
      <c r="J867" s="59"/>
      <c r="K867" s="58"/>
      <c r="L867" s="6"/>
      <c r="M867" s="6"/>
      <c r="N867" s="6"/>
      <c r="O867" s="6"/>
      <c r="P867" s="6"/>
      <c r="Q867" s="6"/>
      <c r="R867" s="6"/>
      <c r="S867" s="6"/>
      <c r="T867" s="6"/>
      <c r="U867"/>
      <c r="V867"/>
      <c r="W867"/>
      <c r="X867"/>
    </row>
    <row r="868" spans="1:24" x14ac:dyDescent="0.2">
      <c r="A868" s="44"/>
      <c r="B868" s="44"/>
      <c r="C868" s="44"/>
      <c r="D868" s="44"/>
      <c r="E868" s="44"/>
      <c r="F868" s="58"/>
      <c r="G868" s="32"/>
      <c r="H868" s="58"/>
      <c r="I868" s="58"/>
      <c r="J868" s="59"/>
      <c r="K868" s="58"/>
      <c r="L868" s="6"/>
      <c r="M868" s="6"/>
      <c r="N868" s="6"/>
      <c r="O868" s="6"/>
      <c r="P868" s="6"/>
      <c r="Q868" s="6"/>
      <c r="R868" s="6"/>
      <c r="S868" s="6"/>
      <c r="T868" s="6"/>
      <c r="U868"/>
      <c r="V868"/>
      <c r="W868"/>
      <c r="X868"/>
    </row>
    <row r="869" spans="1:24" x14ac:dyDescent="0.2">
      <c r="A869" s="44"/>
      <c r="B869" s="44"/>
      <c r="C869" s="44"/>
      <c r="D869" s="44"/>
      <c r="E869" s="44"/>
      <c r="F869" s="58"/>
      <c r="G869" s="32"/>
      <c r="H869" s="58"/>
      <c r="I869" s="58"/>
      <c r="J869" s="59"/>
      <c r="K869" s="58"/>
      <c r="L869" s="6"/>
      <c r="M869" s="6"/>
      <c r="N869" s="6"/>
      <c r="O869" s="6"/>
      <c r="P869" s="6"/>
      <c r="Q869" s="6"/>
      <c r="R869" s="6"/>
      <c r="S869" s="6"/>
      <c r="T869" s="6"/>
      <c r="U869"/>
      <c r="V869"/>
      <c r="W869"/>
      <c r="X869"/>
    </row>
    <row r="870" spans="1:24" x14ac:dyDescent="0.2">
      <c r="A870" s="44"/>
      <c r="B870" s="44"/>
      <c r="C870" s="44"/>
      <c r="D870" s="44"/>
      <c r="E870" s="44"/>
      <c r="F870" s="58"/>
      <c r="G870" s="32"/>
      <c r="H870" s="58"/>
      <c r="I870" s="58"/>
      <c r="J870" s="59"/>
      <c r="K870" s="58"/>
      <c r="L870" s="6"/>
      <c r="M870" s="6"/>
      <c r="N870" s="6"/>
      <c r="O870" s="6"/>
      <c r="P870" s="6"/>
      <c r="Q870" s="6"/>
      <c r="R870" s="6"/>
      <c r="S870" s="6"/>
      <c r="T870" s="6"/>
      <c r="U870"/>
      <c r="V870"/>
      <c r="W870"/>
      <c r="X870"/>
    </row>
    <row r="871" spans="1:24" x14ac:dyDescent="0.2">
      <c r="A871" s="44"/>
      <c r="B871" s="44"/>
      <c r="C871" s="44"/>
      <c r="D871" s="44"/>
      <c r="E871" s="44"/>
      <c r="F871" s="58"/>
      <c r="G871" s="32"/>
      <c r="H871" s="58"/>
      <c r="I871" s="58"/>
      <c r="J871" s="59"/>
      <c r="K871" s="58"/>
      <c r="L871" s="6"/>
      <c r="M871" s="6"/>
      <c r="N871" s="6"/>
      <c r="O871" s="6"/>
      <c r="P871" s="6"/>
      <c r="Q871" s="6"/>
      <c r="R871" s="6"/>
      <c r="S871" s="6"/>
      <c r="T871" s="6"/>
      <c r="U871"/>
      <c r="V871"/>
      <c r="W871"/>
      <c r="X871"/>
    </row>
    <row r="872" spans="1:24" x14ac:dyDescent="0.2">
      <c r="A872" s="44"/>
      <c r="B872" s="44"/>
      <c r="C872" s="44"/>
      <c r="D872" s="44"/>
      <c r="E872" s="44"/>
      <c r="F872" s="58"/>
      <c r="G872" s="32"/>
      <c r="H872" s="58"/>
      <c r="I872" s="58"/>
      <c r="J872" s="59"/>
      <c r="K872" s="58"/>
      <c r="L872" s="6"/>
      <c r="M872" s="6"/>
      <c r="N872" s="6"/>
      <c r="O872" s="6"/>
      <c r="P872" s="6"/>
      <c r="Q872" s="6"/>
      <c r="R872" s="6"/>
      <c r="S872" s="6"/>
      <c r="T872" s="6"/>
      <c r="U872"/>
      <c r="V872"/>
      <c r="W872"/>
      <c r="X872"/>
    </row>
    <row r="873" spans="1:24" x14ac:dyDescent="0.2">
      <c r="A873" s="44"/>
      <c r="B873" s="44"/>
      <c r="C873" s="44"/>
      <c r="D873" s="44"/>
      <c r="E873" s="44"/>
      <c r="F873" s="58"/>
      <c r="G873" s="32"/>
      <c r="H873" s="58"/>
      <c r="I873" s="58"/>
      <c r="J873" s="59"/>
      <c r="K873" s="58"/>
      <c r="L873" s="6"/>
      <c r="M873" s="6"/>
      <c r="N873" s="6"/>
      <c r="O873" s="6"/>
      <c r="P873" s="6"/>
      <c r="Q873" s="6"/>
      <c r="R873" s="6"/>
      <c r="S873" s="6"/>
      <c r="T873" s="6"/>
      <c r="U873"/>
      <c r="V873"/>
      <c r="W873"/>
      <c r="X873"/>
    </row>
    <row r="874" spans="1:24" x14ac:dyDescent="0.2">
      <c r="A874" s="44"/>
      <c r="B874" s="44"/>
      <c r="C874" s="44"/>
      <c r="D874" s="44"/>
      <c r="E874" s="44"/>
      <c r="F874" s="58"/>
      <c r="G874" s="32"/>
      <c r="H874" s="58"/>
      <c r="I874" s="58"/>
      <c r="J874" s="59"/>
      <c r="K874" s="58"/>
      <c r="L874" s="6"/>
      <c r="M874" s="6"/>
      <c r="N874" s="6"/>
      <c r="O874" s="6"/>
      <c r="P874" s="6"/>
      <c r="Q874" s="6"/>
      <c r="R874" s="6"/>
      <c r="S874" s="6"/>
      <c r="T874" s="6"/>
      <c r="U874"/>
      <c r="V874"/>
      <c r="W874"/>
      <c r="X874"/>
    </row>
    <row r="875" spans="1:24" x14ac:dyDescent="0.2">
      <c r="A875" s="44"/>
      <c r="B875" s="44"/>
      <c r="C875" s="44"/>
      <c r="D875" s="44"/>
      <c r="E875" s="44"/>
      <c r="F875" s="58"/>
      <c r="G875" s="32"/>
      <c r="H875" s="58"/>
      <c r="I875" s="58"/>
      <c r="J875" s="59"/>
      <c r="K875" s="58"/>
      <c r="L875" s="6"/>
      <c r="M875" s="6"/>
      <c r="N875" s="6"/>
      <c r="O875" s="6"/>
      <c r="P875" s="6"/>
      <c r="Q875" s="6"/>
      <c r="R875" s="6"/>
      <c r="S875" s="6"/>
      <c r="T875" s="6"/>
      <c r="U875"/>
      <c r="V875"/>
      <c r="W875"/>
      <c r="X875"/>
    </row>
    <row r="876" spans="1:24" x14ac:dyDescent="0.2">
      <c r="A876" s="44"/>
      <c r="B876" s="44"/>
      <c r="C876" s="44"/>
      <c r="D876" s="44"/>
      <c r="E876" s="44"/>
      <c r="F876" s="58"/>
      <c r="G876" s="32"/>
      <c r="H876" s="58"/>
      <c r="I876" s="58"/>
      <c r="J876" s="59"/>
      <c r="K876" s="58"/>
      <c r="L876" s="6"/>
      <c r="M876" s="6"/>
      <c r="N876" s="6"/>
      <c r="O876" s="6"/>
      <c r="P876" s="6"/>
      <c r="Q876" s="6"/>
      <c r="R876" s="6"/>
      <c r="S876" s="6"/>
      <c r="T876" s="6"/>
      <c r="U876"/>
      <c r="V876"/>
      <c r="W876"/>
      <c r="X876"/>
    </row>
    <row r="877" spans="1:24" x14ac:dyDescent="0.2">
      <c r="A877" s="44"/>
      <c r="B877" s="44"/>
      <c r="C877" s="44"/>
      <c r="D877" s="44"/>
      <c r="E877" s="44"/>
      <c r="F877" s="58"/>
      <c r="G877" s="32"/>
      <c r="H877" s="58"/>
      <c r="I877" s="58"/>
      <c r="J877" s="59"/>
      <c r="K877" s="58"/>
      <c r="L877" s="6"/>
      <c r="M877" s="6"/>
      <c r="N877" s="6"/>
      <c r="O877" s="6"/>
      <c r="P877" s="6"/>
      <c r="Q877" s="6"/>
      <c r="R877" s="6"/>
      <c r="S877" s="6"/>
      <c r="T877" s="6"/>
      <c r="U877"/>
      <c r="V877"/>
      <c r="W877"/>
      <c r="X877"/>
    </row>
    <row r="878" spans="1:24" x14ac:dyDescent="0.2">
      <c r="A878" s="44"/>
      <c r="B878" s="44"/>
      <c r="C878" s="44"/>
      <c r="D878" s="44"/>
      <c r="E878" s="44"/>
      <c r="F878" s="58"/>
      <c r="G878" s="32"/>
      <c r="H878" s="58"/>
      <c r="I878" s="58"/>
      <c r="J878" s="59"/>
      <c r="K878" s="58"/>
      <c r="L878" s="6"/>
      <c r="M878" s="6"/>
      <c r="N878" s="6"/>
      <c r="O878" s="6"/>
      <c r="P878" s="6"/>
      <c r="Q878" s="6"/>
      <c r="R878" s="6"/>
      <c r="S878" s="6"/>
      <c r="T878" s="6"/>
      <c r="U878"/>
      <c r="V878"/>
      <c r="W878"/>
      <c r="X878"/>
    </row>
    <row r="879" spans="1:24" x14ac:dyDescent="0.2">
      <c r="A879" s="44"/>
      <c r="B879" s="44"/>
      <c r="C879" s="44"/>
      <c r="D879" s="44"/>
      <c r="E879" s="44"/>
      <c r="F879" s="58"/>
      <c r="G879" s="32"/>
      <c r="H879" s="58"/>
      <c r="I879" s="58"/>
      <c r="J879" s="59"/>
      <c r="K879" s="58"/>
      <c r="L879" s="6"/>
      <c r="M879" s="6"/>
      <c r="N879" s="6"/>
      <c r="O879" s="6"/>
      <c r="P879" s="6"/>
      <c r="Q879" s="6"/>
      <c r="R879" s="6"/>
      <c r="S879" s="6"/>
      <c r="T879" s="6"/>
      <c r="U879"/>
      <c r="V879"/>
      <c r="W879"/>
      <c r="X879"/>
    </row>
    <row r="880" spans="1:24" x14ac:dyDescent="0.2">
      <c r="A880" s="44"/>
      <c r="B880" s="44"/>
      <c r="C880" s="44"/>
      <c r="D880" s="44"/>
      <c r="E880" s="44"/>
      <c r="F880" s="58"/>
      <c r="G880" s="32"/>
      <c r="H880" s="58"/>
      <c r="I880" s="58"/>
      <c r="J880" s="59"/>
      <c r="K880" s="58"/>
      <c r="L880" s="6"/>
      <c r="M880" s="6"/>
      <c r="N880" s="6"/>
      <c r="O880" s="6"/>
      <c r="P880" s="6"/>
      <c r="Q880" s="6"/>
      <c r="R880" s="6"/>
      <c r="S880" s="6"/>
      <c r="T880" s="6"/>
      <c r="U880"/>
      <c r="V880"/>
      <c r="W880"/>
      <c r="X880"/>
    </row>
    <row r="881" spans="1:24" x14ac:dyDescent="0.2">
      <c r="A881" s="44"/>
      <c r="B881" s="44"/>
      <c r="C881" s="44"/>
      <c r="D881" s="44"/>
      <c r="E881" s="44"/>
      <c r="F881" s="58"/>
      <c r="G881" s="32"/>
      <c r="H881" s="58"/>
      <c r="I881" s="58"/>
      <c r="J881" s="59"/>
      <c r="K881" s="58"/>
      <c r="L881" s="6"/>
      <c r="M881" s="6"/>
      <c r="N881" s="6"/>
      <c r="O881" s="6"/>
      <c r="P881" s="6"/>
      <c r="Q881" s="6"/>
      <c r="R881" s="6"/>
      <c r="S881" s="6"/>
      <c r="T881" s="6"/>
      <c r="U881"/>
      <c r="V881"/>
      <c r="W881"/>
      <c r="X881"/>
    </row>
    <row r="882" spans="1:24" x14ac:dyDescent="0.2">
      <c r="A882" s="44"/>
      <c r="B882" s="44"/>
      <c r="C882" s="44"/>
      <c r="D882" s="44"/>
      <c r="E882" s="44"/>
      <c r="F882" s="58"/>
      <c r="G882" s="32"/>
      <c r="H882" s="58"/>
      <c r="I882" s="58"/>
      <c r="J882" s="59"/>
      <c r="K882" s="58"/>
      <c r="L882" s="6"/>
      <c r="M882" s="6"/>
      <c r="N882" s="6"/>
      <c r="O882" s="6"/>
      <c r="P882" s="6"/>
      <c r="Q882" s="6"/>
      <c r="R882" s="6"/>
      <c r="S882" s="6"/>
      <c r="T882" s="6"/>
      <c r="U882"/>
      <c r="V882"/>
      <c r="W882"/>
      <c r="X882"/>
    </row>
    <row r="883" spans="1:24" x14ac:dyDescent="0.2">
      <c r="A883" s="44"/>
      <c r="B883" s="44"/>
      <c r="C883" s="44"/>
      <c r="D883" s="44"/>
      <c r="E883" s="44"/>
      <c r="F883" s="58"/>
      <c r="G883" s="32"/>
      <c r="H883" s="58"/>
      <c r="I883" s="58"/>
      <c r="J883" s="59"/>
      <c r="K883" s="58"/>
      <c r="L883" s="6"/>
      <c r="M883" s="6"/>
      <c r="N883" s="6"/>
      <c r="O883" s="6"/>
      <c r="P883" s="6"/>
      <c r="Q883" s="6"/>
      <c r="R883" s="6"/>
      <c r="S883" s="6"/>
      <c r="T883" s="6"/>
      <c r="U883"/>
      <c r="V883"/>
      <c r="W883"/>
      <c r="X883"/>
    </row>
    <row r="884" spans="1:24" x14ac:dyDescent="0.2">
      <c r="A884" s="44"/>
      <c r="B884" s="44"/>
      <c r="C884" s="44"/>
      <c r="D884" s="44"/>
      <c r="E884" s="44"/>
      <c r="F884" s="58"/>
      <c r="G884" s="32"/>
      <c r="H884" s="58"/>
      <c r="I884" s="58"/>
      <c r="J884" s="59"/>
      <c r="K884" s="58"/>
      <c r="L884" s="6"/>
      <c r="M884" s="6"/>
      <c r="N884" s="6"/>
      <c r="O884" s="6"/>
      <c r="P884" s="6"/>
      <c r="Q884" s="6"/>
      <c r="R884" s="6"/>
      <c r="S884" s="6"/>
      <c r="T884" s="6"/>
      <c r="U884"/>
      <c r="V884"/>
      <c r="W884"/>
      <c r="X884"/>
    </row>
    <row r="885" spans="1:24" x14ac:dyDescent="0.2">
      <c r="A885" s="44"/>
      <c r="B885" s="44"/>
      <c r="C885" s="44"/>
      <c r="D885" s="44"/>
      <c r="E885" s="44"/>
      <c r="F885" s="58"/>
      <c r="G885" s="32"/>
      <c r="H885" s="58"/>
      <c r="I885" s="58"/>
      <c r="J885" s="59"/>
      <c r="K885" s="58"/>
      <c r="L885" s="6"/>
      <c r="M885" s="6"/>
      <c r="N885" s="6"/>
      <c r="O885" s="6"/>
      <c r="P885" s="6"/>
      <c r="Q885" s="6"/>
      <c r="R885" s="6"/>
      <c r="S885" s="6"/>
      <c r="T885" s="6"/>
      <c r="U885"/>
      <c r="V885"/>
      <c r="W885"/>
      <c r="X885"/>
    </row>
    <row r="886" spans="1:24" x14ac:dyDescent="0.2">
      <c r="A886" s="44"/>
      <c r="B886" s="44"/>
      <c r="C886" s="44"/>
      <c r="D886" s="44"/>
      <c r="E886" s="44"/>
      <c r="F886" s="58"/>
      <c r="G886" s="32"/>
      <c r="H886" s="58"/>
      <c r="I886" s="58"/>
      <c r="J886" s="59"/>
      <c r="K886" s="58"/>
      <c r="L886" s="6"/>
      <c r="M886" s="6"/>
      <c r="N886" s="6"/>
      <c r="O886" s="6"/>
      <c r="P886" s="6"/>
      <c r="Q886" s="6"/>
      <c r="R886" s="6"/>
      <c r="S886" s="6"/>
      <c r="T886" s="6"/>
      <c r="U886"/>
      <c r="V886"/>
      <c r="W886"/>
      <c r="X886"/>
    </row>
    <row r="887" spans="1:24" x14ac:dyDescent="0.2">
      <c r="A887" s="44"/>
      <c r="B887" s="44"/>
      <c r="C887" s="44"/>
      <c r="D887" s="44"/>
      <c r="E887" s="44"/>
      <c r="F887" s="58"/>
      <c r="G887" s="32"/>
      <c r="H887" s="58"/>
      <c r="I887" s="58"/>
      <c r="J887" s="59"/>
      <c r="K887" s="58"/>
      <c r="L887" s="6"/>
      <c r="M887" s="6"/>
      <c r="N887" s="6"/>
      <c r="O887" s="6"/>
      <c r="P887" s="6"/>
      <c r="Q887" s="6"/>
      <c r="R887" s="6"/>
      <c r="S887" s="6"/>
      <c r="T887" s="6"/>
      <c r="U887"/>
      <c r="V887"/>
      <c r="W887"/>
      <c r="X887"/>
    </row>
    <row r="888" spans="1:24" x14ac:dyDescent="0.2">
      <c r="A888" s="44"/>
      <c r="B888" s="44"/>
      <c r="C888" s="44"/>
      <c r="D888" s="44"/>
      <c r="E888" s="44"/>
      <c r="F888" s="58"/>
      <c r="G888" s="32"/>
      <c r="H888" s="58"/>
      <c r="I888" s="58"/>
      <c r="J888" s="59"/>
      <c r="K888" s="58"/>
      <c r="L888" s="6"/>
      <c r="M888" s="6"/>
      <c r="N888" s="6"/>
      <c r="O888" s="6"/>
      <c r="P888" s="6"/>
      <c r="Q888" s="6"/>
      <c r="R888" s="6"/>
      <c r="S888" s="6"/>
      <c r="T888" s="6"/>
      <c r="U888"/>
      <c r="V888"/>
      <c r="W888"/>
      <c r="X888"/>
    </row>
    <row r="889" spans="1:24" x14ac:dyDescent="0.2">
      <c r="A889" s="44"/>
      <c r="B889" s="44"/>
      <c r="C889" s="44"/>
      <c r="D889" s="44"/>
      <c r="E889" s="44"/>
      <c r="F889" s="58"/>
      <c r="G889" s="32"/>
      <c r="H889" s="58"/>
      <c r="I889" s="58"/>
      <c r="J889" s="59"/>
      <c r="K889" s="58"/>
      <c r="L889" s="6"/>
      <c r="M889" s="6"/>
      <c r="N889" s="6"/>
      <c r="O889" s="6"/>
      <c r="P889" s="6"/>
      <c r="Q889" s="6"/>
      <c r="R889" s="6"/>
      <c r="S889" s="6"/>
      <c r="T889" s="6"/>
      <c r="U889"/>
      <c r="V889"/>
      <c r="W889"/>
      <c r="X889"/>
    </row>
    <row r="890" spans="1:24" x14ac:dyDescent="0.2">
      <c r="A890" s="44"/>
      <c r="B890" s="44"/>
      <c r="C890" s="44"/>
      <c r="D890" s="44"/>
      <c r="E890" s="44"/>
      <c r="F890" s="58"/>
      <c r="G890" s="32"/>
      <c r="H890" s="58"/>
      <c r="I890" s="58"/>
      <c r="J890" s="59"/>
      <c r="K890" s="58"/>
      <c r="L890" s="6"/>
      <c r="M890" s="6"/>
      <c r="N890" s="6"/>
      <c r="O890" s="6"/>
      <c r="P890" s="6"/>
      <c r="Q890" s="6"/>
      <c r="R890" s="6"/>
      <c r="S890" s="6"/>
      <c r="T890" s="6"/>
      <c r="U890"/>
      <c r="V890"/>
      <c r="W890"/>
      <c r="X890"/>
    </row>
    <row r="891" spans="1:24" x14ac:dyDescent="0.2">
      <c r="A891" s="44"/>
      <c r="B891" s="44"/>
      <c r="C891" s="44"/>
      <c r="D891" s="44"/>
      <c r="E891" s="44"/>
      <c r="F891" s="58"/>
      <c r="G891" s="32"/>
      <c r="H891" s="58"/>
      <c r="I891" s="58"/>
      <c r="J891" s="59"/>
      <c r="K891" s="58"/>
      <c r="L891" s="6"/>
      <c r="M891" s="6"/>
      <c r="N891" s="6"/>
      <c r="O891" s="6"/>
      <c r="P891" s="6"/>
      <c r="Q891" s="6"/>
      <c r="R891" s="6"/>
      <c r="S891" s="6"/>
      <c r="T891" s="6"/>
      <c r="U891"/>
      <c r="V891"/>
      <c r="W891"/>
      <c r="X891"/>
    </row>
    <row r="892" spans="1:24" x14ac:dyDescent="0.2">
      <c r="A892" s="44"/>
      <c r="B892" s="44"/>
      <c r="C892" s="44"/>
      <c r="D892" s="44"/>
      <c r="E892" s="44"/>
      <c r="F892" s="58"/>
      <c r="G892" s="32"/>
      <c r="H892" s="58"/>
      <c r="I892" s="58"/>
      <c r="J892" s="59"/>
      <c r="K892" s="58"/>
      <c r="L892" s="6"/>
      <c r="M892" s="6"/>
      <c r="N892" s="6"/>
      <c r="O892" s="6"/>
      <c r="P892" s="6"/>
      <c r="Q892" s="6"/>
      <c r="R892" s="6"/>
      <c r="S892" s="6"/>
      <c r="T892" s="6"/>
      <c r="U892"/>
      <c r="V892"/>
      <c r="W892"/>
      <c r="X892"/>
    </row>
    <row r="893" spans="1:24" x14ac:dyDescent="0.2">
      <c r="A893" s="44"/>
      <c r="B893" s="44"/>
      <c r="C893" s="44"/>
      <c r="D893" s="44"/>
      <c r="E893" s="44"/>
      <c r="F893" s="58"/>
      <c r="G893" s="32"/>
      <c r="H893" s="58"/>
      <c r="I893" s="58"/>
      <c r="J893" s="59"/>
      <c r="K893" s="58"/>
      <c r="L893" s="6"/>
      <c r="M893" s="6"/>
      <c r="N893" s="6"/>
      <c r="O893" s="6"/>
      <c r="P893" s="6"/>
      <c r="Q893" s="6"/>
      <c r="R893" s="6"/>
      <c r="S893" s="6"/>
      <c r="T893" s="6"/>
      <c r="U893"/>
      <c r="V893"/>
      <c r="W893"/>
      <c r="X893"/>
    </row>
    <row r="894" spans="1:24" x14ac:dyDescent="0.2">
      <c r="A894" s="44"/>
      <c r="B894" s="44"/>
      <c r="C894" s="44"/>
      <c r="D894" s="44"/>
      <c r="E894" s="44"/>
      <c r="F894" s="58"/>
      <c r="G894" s="32"/>
      <c r="H894" s="58"/>
      <c r="I894" s="58"/>
      <c r="J894" s="59"/>
      <c r="K894" s="58"/>
      <c r="L894" s="6"/>
      <c r="M894" s="6"/>
      <c r="N894" s="6"/>
      <c r="O894" s="6"/>
      <c r="P894" s="6"/>
      <c r="Q894" s="6"/>
      <c r="R894" s="6"/>
      <c r="S894" s="6"/>
      <c r="T894" s="6"/>
      <c r="U894"/>
      <c r="V894"/>
      <c r="W894"/>
      <c r="X894"/>
    </row>
    <row r="895" spans="1:24" x14ac:dyDescent="0.2">
      <c r="A895" s="44"/>
      <c r="B895" s="44"/>
      <c r="C895" s="44"/>
      <c r="D895" s="44"/>
      <c r="E895" s="44"/>
      <c r="F895" s="58"/>
      <c r="G895" s="32"/>
      <c r="H895" s="58"/>
      <c r="I895" s="58"/>
      <c r="J895" s="59"/>
      <c r="K895" s="58"/>
      <c r="L895" s="6"/>
      <c r="M895" s="6"/>
      <c r="N895" s="6"/>
      <c r="O895" s="6"/>
      <c r="P895" s="6"/>
      <c r="Q895" s="6"/>
      <c r="R895" s="6"/>
      <c r="S895" s="6"/>
      <c r="T895" s="6"/>
      <c r="U895"/>
      <c r="V895"/>
      <c r="W895"/>
      <c r="X895"/>
    </row>
    <row r="896" spans="1:24" x14ac:dyDescent="0.2">
      <c r="A896" s="44"/>
      <c r="B896" s="44"/>
      <c r="C896" s="44"/>
      <c r="D896" s="44"/>
      <c r="E896" s="44"/>
      <c r="F896" s="58"/>
      <c r="G896" s="32"/>
      <c r="H896" s="58"/>
      <c r="I896" s="58"/>
      <c r="J896" s="59"/>
      <c r="K896" s="58"/>
      <c r="L896" s="6"/>
      <c r="M896" s="6"/>
      <c r="N896" s="6"/>
      <c r="O896" s="6"/>
      <c r="P896" s="6"/>
      <c r="Q896" s="6"/>
      <c r="R896" s="6"/>
      <c r="S896" s="6"/>
      <c r="T896" s="6"/>
      <c r="U896"/>
      <c r="V896"/>
      <c r="W896"/>
      <c r="X896"/>
    </row>
    <row r="897" spans="1:24" x14ac:dyDescent="0.2">
      <c r="A897" s="44"/>
      <c r="B897" s="44"/>
      <c r="C897" s="44"/>
      <c r="D897" s="44"/>
      <c r="E897" s="44"/>
      <c r="F897" s="58"/>
      <c r="G897" s="32"/>
      <c r="H897" s="58"/>
      <c r="I897" s="58"/>
      <c r="J897" s="59"/>
      <c r="K897" s="58"/>
      <c r="L897" s="6"/>
      <c r="M897" s="6"/>
      <c r="N897" s="6"/>
      <c r="O897" s="6"/>
      <c r="P897" s="6"/>
      <c r="Q897" s="6"/>
      <c r="R897" s="6"/>
      <c r="S897" s="6"/>
      <c r="T897" s="6"/>
      <c r="U897"/>
      <c r="V897"/>
      <c r="W897"/>
      <c r="X897"/>
    </row>
    <row r="898" spans="1:24" x14ac:dyDescent="0.2">
      <c r="A898" s="44"/>
      <c r="B898" s="44"/>
      <c r="C898" s="44"/>
      <c r="D898" s="44"/>
      <c r="E898" s="44"/>
      <c r="F898" s="58"/>
      <c r="G898" s="32"/>
      <c r="H898" s="58"/>
      <c r="I898" s="58"/>
      <c r="J898" s="59"/>
      <c r="K898" s="58"/>
      <c r="L898" s="6"/>
      <c r="M898" s="6"/>
      <c r="N898" s="6"/>
      <c r="O898" s="6"/>
      <c r="P898" s="6"/>
      <c r="Q898" s="6"/>
      <c r="R898" s="6"/>
      <c r="S898" s="6"/>
      <c r="T898" s="6"/>
      <c r="U898"/>
      <c r="V898"/>
      <c r="W898"/>
      <c r="X898"/>
    </row>
    <row r="899" spans="1:24" x14ac:dyDescent="0.2">
      <c r="A899" s="44"/>
      <c r="B899" s="44"/>
      <c r="C899" s="44"/>
      <c r="D899" s="44"/>
      <c r="E899" s="44"/>
      <c r="F899" s="58"/>
      <c r="G899" s="32"/>
      <c r="H899" s="58"/>
      <c r="I899" s="58"/>
      <c r="J899" s="59"/>
      <c r="K899" s="58"/>
      <c r="L899" s="6"/>
      <c r="M899" s="6"/>
      <c r="N899" s="6"/>
      <c r="O899" s="6"/>
      <c r="P899" s="6"/>
      <c r="Q899" s="6"/>
      <c r="R899" s="6"/>
      <c r="S899" s="6"/>
      <c r="T899" s="6"/>
      <c r="U899"/>
      <c r="V899"/>
      <c r="W899"/>
      <c r="X899"/>
    </row>
    <row r="900" spans="1:24" x14ac:dyDescent="0.2">
      <c r="A900" s="44"/>
      <c r="B900" s="44"/>
      <c r="C900" s="44"/>
      <c r="D900" s="44"/>
      <c r="E900" s="44"/>
      <c r="F900" s="58"/>
      <c r="G900" s="32"/>
      <c r="H900" s="58"/>
      <c r="I900" s="58"/>
      <c r="J900" s="59"/>
      <c r="K900" s="58"/>
      <c r="L900" s="6"/>
      <c r="M900" s="6"/>
      <c r="N900" s="6"/>
      <c r="O900" s="6"/>
      <c r="P900" s="6"/>
      <c r="Q900" s="6"/>
      <c r="R900" s="6"/>
      <c r="S900" s="6"/>
      <c r="T900" s="6"/>
      <c r="U900"/>
      <c r="V900"/>
      <c r="W900"/>
      <c r="X900"/>
    </row>
    <row r="901" spans="1:24" x14ac:dyDescent="0.2">
      <c r="A901" s="44"/>
      <c r="B901" s="44"/>
      <c r="C901" s="44"/>
      <c r="D901" s="44"/>
      <c r="E901" s="44"/>
      <c r="F901" s="58"/>
      <c r="G901" s="32"/>
      <c r="H901" s="58"/>
      <c r="I901" s="58"/>
      <c r="J901" s="59"/>
      <c r="K901" s="58"/>
      <c r="L901" s="6"/>
      <c r="M901" s="6"/>
      <c r="N901" s="6"/>
      <c r="O901" s="6"/>
      <c r="P901" s="6"/>
      <c r="Q901" s="6"/>
      <c r="R901" s="6"/>
      <c r="S901" s="6"/>
      <c r="T901" s="6"/>
      <c r="U901"/>
      <c r="V901"/>
      <c r="W901"/>
      <c r="X901"/>
    </row>
    <row r="902" spans="1:24" x14ac:dyDescent="0.2">
      <c r="A902" s="44"/>
      <c r="B902" s="44"/>
      <c r="C902" s="44"/>
      <c r="D902" s="44"/>
      <c r="E902" s="44"/>
      <c r="F902" s="58"/>
      <c r="G902" s="32"/>
      <c r="H902" s="58"/>
      <c r="I902" s="58"/>
      <c r="J902" s="59"/>
      <c r="K902" s="58"/>
      <c r="L902" s="6"/>
      <c r="M902" s="6"/>
      <c r="N902" s="6"/>
      <c r="O902" s="6"/>
      <c r="P902" s="6"/>
      <c r="Q902" s="6"/>
      <c r="R902" s="6"/>
      <c r="S902" s="6"/>
      <c r="T902" s="6"/>
      <c r="U902"/>
      <c r="V902"/>
      <c r="W902"/>
      <c r="X902"/>
    </row>
    <row r="903" spans="1:24" x14ac:dyDescent="0.2">
      <c r="A903" s="44"/>
      <c r="B903" s="44"/>
      <c r="C903" s="44"/>
      <c r="D903" s="44"/>
      <c r="E903" s="44"/>
      <c r="F903" s="58"/>
      <c r="G903" s="32"/>
      <c r="H903" s="58"/>
      <c r="I903" s="58"/>
      <c r="J903" s="59"/>
      <c r="K903" s="58"/>
      <c r="L903" s="6"/>
      <c r="M903" s="6"/>
      <c r="N903" s="6"/>
      <c r="O903" s="6"/>
      <c r="P903" s="6"/>
      <c r="Q903" s="6"/>
      <c r="R903" s="6"/>
      <c r="S903" s="6"/>
      <c r="T903" s="6"/>
      <c r="U903"/>
      <c r="V903"/>
      <c r="W903"/>
      <c r="X903"/>
    </row>
    <row r="904" spans="1:24" x14ac:dyDescent="0.2">
      <c r="A904" s="44"/>
      <c r="B904" s="44"/>
      <c r="C904" s="44"/>
      <c r="D904" s="44"/>
      <c r="E904" s="44"/>
      <c r="F904" s="58"/>
      <c r="G904" s="32"/>
      <c r="H904" s="58"/>
      <c r="I904" s="58"/>
      <c r="J904" s="59"/>
      <c r="K904" s="58"/>
      <c r="L904" s="6"/>
      <c r="M904" s="6"/>
      <c r="N904" s="6"/>
      <c r="O904" s="6"/>
      <c r="P904" s="6"/>
      <c r="Q904" s="6"/>
      <c r="R904" s="6"/>
      <c r="S904" s="6"/>
      <c r="T904" s="6"/>
      <c r="U904"/>
      <c r="V904"/>
      <c r="W904"/>
      <c r="X904"/>
    </row>
    <row r="905" spans="1:24" x14ac:dyDescent="0.2">
      <c r="A905" s="44"/>
      <c r="B905" s="44"/>
      <c r="C905" s="44"/>
      <c r="D905" s="44"/>
      <c r="E905" s="44"/>
      <c r="F905" s="58"/>
      <c r="G905" s="32"/>
      <c r="H905" s="58"/>
      <c r="I905" s="58"/>
      <c r="J905" s="59"/>
      <c r="K905" s="58"/>
      <c r="L905" s="6"/>
      <c r="M905" s="6"/>
      <c r="N905" s="6"/>
      <c r="O905" s="6"/>
      <c r="P905" s="6"/>
      <c r="Q905" s="6"/>
      <c r="R905" s="6"/>
      <c r="S905" s="6"/>
      <c r="T905" s="6"/>
      <c r="U905"/>
      <c r="V905"/>
      <c r="W905"/>
      <c r="X905"/>
    </row>
    <row r="906" spans="1:24" x14ac:dyDescent="0.2">
      <c r="A906" s="44"/>
      <c r="B906" s="44"/>
      <c r="C906" s="44"/>
      <c r="D906" s="44"/>
      <c r="E906" s="44"/>
      <c r="F906" s="58"/>
      <c r="G906" s="32"/>
      <c r="H906" s="58"/>
      <c r="I906" s="58"/>
      <c r="J906" s="59"/>
      <c r="K906" s="58"/>
      <c r="L906" s="6"/>
      <c r="M906" s="6"/>
      <c r="N906" s="6"/>
      <c r="O906" s="6"/>
      <c r="P906" s="6"/>
      <c r="Q906" s="6"/>
      <c r="R906" s="6"/>
      <c r="S906" s="6"/>
      <c r="T906" s="6"/>
      <c r="U906"/>
      <c r="V906"/>
      <c r="W906"/>
      <c r="X906"/>
    </row>
    <row r="907" spans="1:24" x14ac:dyDescent="0.2">
      <c r="A907" s="44"/>
      <c r="B907" s="44"/>
      <c r="C907" s="44"/>
      <c r="D907" s="44"/>
      <c r="E907" s="44"/>
      <c r="F907" s="58"/>
      <c r="G907" s="32"/>
      <c r="H907" s="58"/>
      <c r="I907" s="58"/>
      <c r="J907" s="59"/>
      <c r="K907" s="58"/>
      <c r="L907" s="6"/>
      <c r="M907" s="6"/>
      <c r="N907" s="6"/>
      <c r="O907" s="6"/>
      <c r="P907" s="6"/>
      <c r="Q907" s="6"/>
      <c r="R907" s="6"/>
      <c r="S907" s="6"/>
      <c r="T907" s="6"/>
      <c r="U907"/>
      <c r="V907"/>
      <c r="W907"/>
      <c r="X907"/>
    </row>
    <row r="908" spans="1:24" x14ac:dyDescent="0.2">
      <c r="A908" s="44"/>
      <c r="B908" s="44"/>
      <c r="C908" s="44"/>
      <c r="D908" s="44"/>
      <c r="E908" s="44"/>
      <c r="F908" s="58"/>
      <c r="G908" s="32"/>
      <c r="H908" s="58"/>
      <c r="I908" s="58"/>
      <c r="J908" s="59"/>
      <c r="K908" s="58"/>
      <c r="L908" s="6"/>
      <c r="M908" s="6"/>
      <c r="N908" s="6"/>
      <c r="O908" s="6"/>
      <c r="P908" s="6"/>
      <c r="Q908" s="6"/>
      <c r="R908" s="6"/>
      <c r="S908" s="6"/>
      <c r="T908" s="6"/>
      <c r="U908"/>
      <c r="V908"/>
      <c r="W908"/>
      <c r="X908"/>
    </row>
    <row r="909" spans="1:24" x14ac:dyDescent="0.2">
      <c r="A909" s="44"/>
      <c r="B909" s="44"/>
      <c r="C909" s="44"/>
      <c r="D909" s="44"/>
      <c r="E909" s="44"/>
      <c r="F909" s="58"/>
      <c r="G909" s="32"/>
      <c r="H909" s="58"/>
      <c r="I909" s="58"/>
      <c r="J909" s="59"/>
      <c r="K909" s="58"/>
      <c r="L909" s="6"/>
      <c r="M909" s="6"/>
      <c r="N909" s="6"/>
      <c r="O909" s="6"/>
      <c r="P909" s="6"/>
      <c r="Q909" s="6"/>
      <c r="R909" s="6"/>
      <c r="S909" s="6"/>
      <c r="T909" s="6"/>
      <c r="U909"/>
      <c r="V909"/>
      <c r="W909"/>
      <c r="X909"/>
    </row>
    <row r="910" spans="1:24" x14ac:dyDescent="0.2">
      <c r="A910" s="44"/>
      <c r="B910" s="44"/>
      <c r="C910" s="44"/>
      <c r="D910" s="44"/>
      <c r="E910" s="44"/>
      <c r="F910" s="58"/>
      <c r="G910" s="32"/>
      <c r="H910" s="58"/>
      <c r="I910" s="58"/>
      <c r="J910" s="59"/>
      <c r="K910" s="58"/>
      <c r="L910" s="6"/>
      <c r="M910" s="6"/>
      <c r="N910" s="6"/>
      <c r="O910" s="6"/>
      <c r="P910" s="6"/>
      <c r="Q910" s="6"/>
      <c r="R910" s="6"/>
      <c r="S910" s="6"/>
      <c r="T910" s="6"/>
      <c r="U910"/>
      <c r="V910"/>
      <c r="W910"/>
      <c r="X910"/>
    </row>
    <row r="911" spans="1:24" x14ac:dyDescent="0.2">
      <c r="A911" s="44"/>
      <c r="B911" s="44"/>
      <c r="C911" s="44"/>
      <c r="D911" s="44"/>
      <c r="E911" s="44"/>
      <c r="F911" s="58"/>
      <c r="G911" s="32"/>
      <c r="H911" s="58"/>
      <c r="I911" s="58"/>
      <c r="J911" s="59"/>
      <c r="K911" s="58"/>
      <c r="L911" s="6"/>
      <c r="M911" s="6"/>
      <c r="N911" s="6"/>
      <c r="O911" s="6"/>
      <c r="P911" s="6"/>
      <c r="Q911" s="6"/>
      <c r="R911" s="6"/>
      <c r="S911" s="6"/>
      <c r="T911" s="6"/>
      <c r="U911"/>
      <c r="V911"/>
      <c r="W911"/>
      <c r="X911"/>
    </row>
    <row r="912" spans="1:24" x14ac:dyDescent="0.2">
      <c r="A912" s="44"/>
      <c r="B912" s="44"/>
      <c r="C912" s="44"/>
      <c r="D912" s="44"/>
      <c r="E912" s="44"/>
      <c r="F912" s="58"/>
      <c r="G912" s="32"/>
      <c r="H912" s="58"/>
      <c r="I912" s="58"/>
      <c r="J912" s="59"/>
      <c r="K912" s="58"/>
      <c r="L912" s="6"/>
      <c r="M912" s="6"/>
      <c r="N912" s="6"/>
      <c r="O912" s="6"/>
      <c r="P912" s="6"/>
      <c r="Q912" s="6"/>
      <c r="R912" s="6"/>
      <c r="S912" s="6"/>
      <c r="T912" s="6"/>
      <c r="U912"/>
      <c r="V912"/>
      <c r="W912"/>
      <c r="X912"/>
    </row>
    <row r="913" spans="1:24" x14ac:dyDescent="0.2">
      <c r="A913" s="44"/>
      <c r="B913" s="44"/>
      <c r="C913" s="44"/>
      <c r="D913" s="44"/>
      <c r="E913" s="44"/>
      <c r="F913" s="58"/>
      <c r="G913" s="32"/>
      <c r="H913" s="58"/>
      <c r="I913" s="58"/>
      <c r="J913" s="59"/>
      <c r="K913" s="58"/>
      <c r="L913" s="6"/>
      <c r="M913" s="6"/>
      <c r="N913" s="6"/>
      <c r="O913" s="6"/>
      <c r="P913" s="6"/>
      <c r="Q913" s="6"/>
      <c r="R913" s="6"/>
      <c r="S913" s="6"/>
      <c r="T913" s="6"/>
      <c r="U913"/>
      <c r="V913"/>
      <c r="W913"/>
      <c r="X913"/>
    </row>
    <row r="914" spans="1:24" x14ac:dyDescent="0.2">
      <c r="A914" s="44"/>
      <c r="B914" s="44"/>
      <c r="C914" s="44"/>
      <c r="D914" s="44"/>
      <c r="E914" s="44"/>
      <c r="F914" s="58"/>
      <c r="G914" s="32"/>
      <c r="H914" s="58"/>
      <c r="I914" s="58"/>
      <c r="J914" s="59"/>
      <c r="K914" s="58"/>
      <c r="L914" s="6"/>
      <c r="M914" s="6"/>
      <c r="N914" s="6"/>
      <c r="O914" s="6"/>
      <c r="P914" s="6"/>
      <c r="Q914" s="6"/>
      <c r="R914" s="6"/>
      <c r="S914" s="6"/>
      <c r="T914" s="6"/>
      <c r="U914"/>
      <c r="V914"/>
      <c r="W914"/>
      <c r="X914"/>
    </row>
    <row r="915" spans="1:24" x14ac:dyDescent="0.2">
      <c r="A915" s="44"/>
      <c r="B915" s="44"/>
      <c r="C915" s="44"/>
      <c r="D915" s="44"/>
      <c r="E915" s="44"/>
      <c r="F915" s="58"/>
      <c r="G915" s="32"/>
      <c r="H915" s="58"/>
      <c r="I915" s="58"/>
      <c r="J915" s="59"/>
      <c r="K915" s="58"/>
      <c r="L915" s="6"/>
      <c r="M915" s="6"/>
      <c r="N915" s="6"/>
      <c r="O915" s="6"/>
      <c r="P915" s="6"/>
      <c r="Q915" s="6"/>
      <c r="R915" s="6"/>
      <c r="S915" s="6"/>
      <c r="T915" s="6"/>
      <c r="U915"/>
      <c r="V915"/>
      <c r="W915"/>
      <c r="X915"/>
    </row>
    <row r="916" spans="1:24" x14ac:dyDescent="0.2">
      <c r="A916" s="44"/>
      <c r="B916" s="44"/>
      <c r="C916" s="44"/>
      <c r="D916" s="44"/>
      <c r="E916" s="44"/>
      <c r="F916" s="58"/>
      <c r="G916" s="32"/>
      <c r="H916" s="58"/>
      <c r="I916" s="58"/>
      <c r="J916" s="59"/>
      <c r="K916" s="58"/>
      <c r="L916" s="6"/>
      <c r="M916" s="6"/>
      <c r="N916" s="6"/>
      <c r="O916" s="6"/>
      <c r="P916" s="6"/>
      <c r="Q916" s="6"/>
      <c r="R916" s="6"/>
      <c r="S916" s="6"/>
      <c r="T916" s="6"/>
      <c r="U916"/>
      <c r="V916"/>
      <c r="W916"/>
      <c r="X916"/>
    </row>
    <row r="917" spans="1:24" x14ac:dyDescent="0.2">
      <c r="A917" s="44"/>
      <c r="B917" s="44"/>
      <c r="C917" s="44"/>
      <c r="D917" s="44"/>
      <c r="E917" s="44"/>
      <c r="F917" s="58"/>
      <c r="G917" s="32"/>
      <c r="H917" s="58"/>
      <c r="I917" s="58"/>
      <c r="J917" s="59"/>
      <c r="K917" s="58"/>
      <c r="L917" s="6"/>
      <c r="M917" s="6"/>
      <c r="N917" s="6"/>
      <c r="O917" s="6"/>
      <c r="P917" s="6"/>
      <c r="Q917" s="6"/>
      <c r="R917" s="6"/>
      <c r="S917" s="6"/>
      <c r="T917" s="6"/>
      <c r="U917"/>
      <c r="V917"/>
      <c r="W917"/>
      <c r="X917"/>
    </row>
    <row r="918" spans="1:24" x14ac:dyDescent="0.2">
      <c r="A918" s="44"/>
      <c r="B918" s="44"/>
      <c r="C918" s="44"/>
      <c r="D918" s="44"/>
      <c r="E918" s="44"/>
      <c r="F918" s="58"/>
      <c r="G918" s="32"/>
      <c r="H918" s="58"/>
      <c r="I918" s="58"/>
      <c r="J918" s="59"/>
      <c r="K918" s="58"/>
      <c r="L918" s="6"/>
      <c r="M918" s="6"/>
      <c r="N918" s="6"/>
      <c r="O918" s="6"/>
      <c r="P918" s="6"/>
      <c r="Q918" s="6"/>
      <c r="R918" s="6"/>
      <c r="S918" s="6"/>
      <c r="T918" s="6"/>
      <c r="U918"/>
      <c r="V918"/>
      <c r="W918"/>
      <c r="X918"/>
    </row>
    <row r="919" spans="1:24" x14ac:dyDescent="0.2">
      <c r="A919" s="44"/>
      <c r="B919" s="44"/>
      <c r="C919" s="44"/>
      <c r="D919" s="44"/>
      <c r="E919" s="44"/>
      <c r="F919" s="58"/>
      <c r="G919" s="32"/>
      <c r="H919" s="58"/>
      <c r="I919" s="58"/>
      <c r="J919" s="59"/>
      <c r="K919" s="58"/>
      <c r="L919" s="6"/>
      <c r="M919" s="6"/>
      <c r="N919" s="6"/>
      <c r="O919" s="6"/>
      <c r="P919" s="6"/>
      <c r="Q919" s="6"/>
      <c r="R919" s="6"/>
      <c r="S919" s="6"/>
      <c r="T919" s="6"/>
      <c r="U919"/>
      <c r="V919"/>
      <c r="W919"/>
      <c r="X919"/>
    </row>
    <row r="920" spans="1:24" x14ac:dyDescent="0.2">
      <c r="A920" s="44"/>
      <c r="B920" s="44"/>
      <c r="C920" s="44"/>
      <c r="D920" s="44"/>
      <c r="E920" s="44"/>
      <c r="F920" s="58"/>
      <c r="G920" s="32"/>
      <c r="H920" s="58"/>
      <c r="I920" s="58"/>
      <c r="J920" s="59"/>
      <c r="K920" s="58"/>
      <c r="L920" s="6"/>
      <c r="M920" s="6"/>
      <c r="N920" s="6"/>
      <c r="O920" s="6"/>
      <c r="P920" s="6"/>
      <c r="Q920" s="6"/>
      <c r="R920" s="6"/>
      <c r="S920" s="6"/>
      <c r="T920" s="6"/>
      <c r="U920"/>
      <c r="V920"/>
      <c r="W920"/>
      <c r="X920"/>
    </row>
    <row r="921" spans="1:24" x14ac:dyDescent="0.2">
      <c r="A921" s="44"/>
      <c r="B921" s="44"/>
      <c r="C921" s="44"/>
      <c r="D921" s="44"/>
      <c r="E921" s="44"/>
      <c r="F921" s="58"/>
      <c r="G921" s="32"/>
      <c r="H921" s="58"/>
      <c r="I921" s="58"/>
      <c r="J921" s="59"/>
      <c r="K921" s="58"/>
      <c r="L921" s="6"/>
      <c r="M921" s="6"/>
      <c r="N921" s="6"/>
      <c r="O921" s="6"/>
      <c r="P921" s="6"/>
      <c r="Q921" s="6"/>
      <c r="R921" s="6"/>
      <c r="S921" s="6"/>
      <c r="T921" s="6"/>
      <c r="U921"/>
      <c r="V921"/>
      <c r="W921"/>
      <c r="X921"/>
    </row>
    <row r="922" spans="1:24" x14ac:dyDescent="0.2">
      <c r="A922" s="44"/>
      <c r="B922" s="44"/>
      <c r="C922" s="44"/>
      <c r="D922" s="44"/>
      <c r="E922" s="44"/>
      <c r="F922" s="58"/>
      <c r="G922" s="32"/>
      <c r="H922" s="58"/>
      <c r="I922" s="58"/>
      <c r="J922" s="59"/>
      <c r="K922" s="58"/>
      <c r="L922" s="6"/>
      <c r="M922" s="6"/>
      <c r="N922" s="6"/>
      <c r="O922" s="6"/>
      <c r="P922" s="6"/>
      <c r="Q922" s="6"/>
      <c r="R922" s="6"/>
      <c r="S922" s="6"/>
      <c r="T922" s="6"/>
      <c r="U922"/>
      <c r="V922"/>
      <c r="W922"/>
      <c r="X922"/>
    </row>
    <row r="923" spans="1:24" x14ac:dyDescent="0.2">
      <c r="A923" s="44"/>
      <c r="B923" s="44"/>
      <c r="C923" s="44"/>
      <c r="D923" s="44"/>
      <c r="E923" s="44"/>
      <c r="F923" s="58"/>
      <c r="G923" s="32"/>
      <c r="H923" s="58"/>
      <c r="I923" s="58"/>
      <c r="J923" s="59"/>
      <c r="K923" s="58"/>
      <c r="L923" s="6"/>
      <c r="M923" s="6"/>
      <c r="N923" s="6"/>
      <c r="O923" s="6"/>
      <c r="P923" s="6"/>
      <c r="Q923" s="6"/>
      <c r="R923" s="6"/>
      <c r="S923" s="6"/>
      <c r="T923" s="6"/>
      <c r="U923"/>
      <c r="V923"/>
      <c r="W923"/>
      <c r="X923"/>
    </row>
    <row r="924" spans="1:24" x14ac:dyDescent="0.2">
      <c r="A924" s="44"/>
      <c r="B924" s="44"/>
      <c r="C924" s="44"/>
      <c r="D924" s="44"/>
      <c r="E924" s="44"/>
      <c r="F924" s="58"/>
      <c r="G924" s="32"/>
      <c r="H924" s="58"/>
      <c r="I924" s="58"/>
      <c r="J924" s="59"/>
      <c r="K924" s="58"/>
      <c r="L924" s="6"/>
      <c r="M924" s="6"/>
      <c r="N924" s="6"/>
      <c r="O924" s="6"/>
      <c r="P924" s="6"/>
      <c r="Q924" s="6"/>
      <c r="R924" s="6"/>
      <c r="S924" s="6"/>
      <c r="T924" s="6"/>
      <c r="U924"/>
      <c r="V924"/>
      <c r="W924"/>
      <c r="X924"/>
    </row>
    <row r="925" spans="1:24" x14ac:dyDescent="0.2">
      <c r="A925" s="44"/>
      <c r="B925" s="44"/>
      <c r="C925" s="44"/>
      <c r="D925" s="44"/>
      <c r="E925" s="44"/>
      <c r="F925" s="58"/>
      <c r="G925" s="32"/>
      <c r="H925" s="58"/>
      <c r="I925" s="58"/>
      <c r="J925" s="59"/>
      <c r="K925" s="58"/>
      <c r="L925" s="6"/>
      <c r="M925" s="6"/>
      <c r="N925" s="6"/>
      <c r="O925" s="6"/>
      <c r="P925" s="6"/>
      <c r="Q925" s="6"/>
      <c r="R925" s="6"/>
      <c r="S925" s="6"/>
      <c r="T925" s="6"/>
      <c r="U925"/>
      <c r="V925"/>
      <c r="W925"/>
      <c r="X925"/>
    </row>
    <row r="926" spans="1:24" x14ac:dyDescent="0.2">
      <c r="A926" s="44"/>
      <c r="B926" s="44"/>
      <c r="C926" s="44"/>
      <c r="D926" s="44"/>
      <c r="E926" s="44"/>
      <c r="F926" s="58"/>
      <c r="G926" s="32"/>
      <c r="H926" s="58"/>
      <c r="I926" s="58"/>
      <c r="J926" s="59"/>
      <c r="K926" s="58"/>
      <c r="L926" s="6"/>
      <c r="M926" s="6"/>
      <c r="N926" s="6"/>
      <c r="O926" s="6"/>
      <c r="P926" s="6"/>
      <c r="Q926" s="6"/>
      <c r="R926" s="6"/>
      <c r="S926" s="6"/>
      <c r="T926" s="6"/>
      <c r="U926"/>
      <c r="V926"/>
      <c r="W926"/>
      <c r="X926"/>
    </row>
    <row r="927" spans="1:24" x14ac:dyDescent="0.2">
      <c r="A927" s="44"/>
      <c r="B927" s="44"/>
      <c r="C927" s="44"/>
      <c r="D927" s="44"/>
      <c r="E927" s="44"/>
      <c r="F927" s="58"/>
      <c r="G927" s="32"/>
      <c r="H927" s="58"/>
      <c r="I927" s="58"/>
      <c r="J927" s="59"/>
      <c r="K927" s="58"/>
      <c r="L927" s="6"/>
      <c r="M927" s="6"/>
      <c r="N927" s="6"/>
      <c r="O927" s="6"/>
      <c r="P927" s="6"/>
      <c r="Q927" s="6"/>
      <c r="R927" s="6"/>
      <c r="S927" s="6"/>
      <c r="T927" s="6"/>
      <c r="U927"/>
      <c r="V927"/>
      <c r="W927"/>
      <c r="X927"/>
    </row>
    <row r="928" spans="1:24" x14ac:dyDescent="0.2">
      <c r="A928" s="44"/>
      <c r="B928" s="44"/>
      <c r="C928" s="44"/>
      <c r="D928" s="44"/>
      <c r="E928" s="44"/>
      <c r="F928" s="58"/>
      <c r="G928" s="32"/>
      <c r="H928" s="58"/>
      <c r="I928" s="58"/>
      <c r="J928" s="59"/>
      <c r="K928" s="58"/>
      <c r="L928" s="6"/>
      <c r="M928" s="6"/>
      <c r="N928" s="6"/>
      <c r="O928" s="6"/>
      <c r="P928" s="6"/>
      <c r="Q928" s="6"/>
      <c r="R928" s="6"/>
      <c r="S928" s="6"/>
      <c r="T928" s="6"/>
      <c r="U928"/>
      <c r="V928"/>
      <c r="W928"/>
      <c r="X928"/>
    </row>
    <row r="929" spans="1:24" x14ac:dyDescent="0.2">
      <c r="A929" s="44"/>
      <c r="B929" s="44"/>
      <c r="C929" s="44"/>
      <c r="D929" s="44"/>
      <c r="E929" s="44"/>
      <c r="F929" s="58"/>
      <c r="G929" s="32"/>
      <c r="H929" s="58"/>
      <c r="I929" s="58"/>
      <c r="J929" s="59"/>
      <c r="K929" s="58"/>
      <c r="L929" s="6"/>
      <c r="M929" s="6"/>
      <c r="N929" s="6"/>
      <c r="O929" s="6"/>
      <c r="P929" s="6"/>
      <c r="Q929" s="6"/>
      <c r="R929" s="6"/>
      <c r="S929" s="6"/>
      <c r="T929" s="6"/>
      <c r="U929"/>
      <c r="V929"/>
      <c r="W929"/>
      <c r="X929"/>
    </row>
    <row r="930" spans="1:24" x14ac:dyDescent="0.2">
      <c r="A930" s="44"/>
      <c r="B930" s="44"/>
      <c r="C930" s="44"/>
      <c r="D930" s="44"/>
      <c r="E930" s="44"/>
      <c r="F930" s="58"/>
      <c r="G930" s="32"/>
      <c r="H930" s="58"/>
      <c r="I930" s="58"/>
      <c r="J930" s="59"/>
      <c r="K930" s="58"/>
      <c r="L930" s="6"/>
      <c r="M930" s="6"/>
      <c r="N930" s="6"/>
      <c r="O930" s="6"/>
      <c r="P930" s="6"/>
      <c r="Q930" s="6"/>
      <c r="R930" s="6"/>
      <c r="S930" s="6"/>
      <c r="T930" s="6"/>
      <c r="U930"/>
      <c r="V930"/>
      <c r="W930"/>
      <c r="X930"/>
    </row>
    <row r="931" spans="1:24" x14ac:dyDescent="0.2">
      <c r="A931" s="44"/>
      <c r="B931" s="44"/>
      <c r="C931" s="44"/>
      <c r="D931" s="44"/>
      <c r="E931" s="44"/>
      <c r="F931" s="58"/>
      <c r="G931" s="32"/>
      <c r="H931" s="58"/>
      <c r="I931" s="58"/>
      <c r="J931" s="59"/>
      <c r="K931" s="58"/>
      <c r="L931" s="6"/>
      <c r="M931" s="6"/>
      <c r="N931" s="6"/>
      <c r="O931" s="6"/>
      <c r="P931" s="6"/>
      <c r="Q931" s="6"/>
      <c r="R931" s="6"/>
      <c r="S931" s="6"/>
      <c r="T931" s="6"/>
      <c r="U931"/>
      <c r="V931"/>
      <c r="W931"/>
      <c r="X931"/>
    </row>
    <row r="932" spans="1:24" x14ac:dyDescent="0.2">
      <c r="A932" s="44"/>
      <c r="B932" s="44"/>
      <c r="C932" s="44"/>
      <c r="D932" s="44"/>
      <c r="E932" s="44"/>
      <c r="F932" s="58"/>
      <c r="G932" s="32"/>
      <c r="H932" s="58"/>
      <c r="I932" s="58"/>
      <c r="J932" s="59"/>
      <c r="K932" s="58"/>
      <c r="L932" s="6"/>
      <c r="M932" s="6"/>
      <c r="N932" s="6"/>
      <c r="O932" s="6"/>
      <c r="P932" s="6"/>
      <c r="Q932" s="6"/>
      <c r="R932" s="6"/>
      <c r="S932" s="6"/>
      <c r="T932" s="6"/>
      <c r="U932"/>
      <c r="V932"/>
      <c r="W932"/>
      <c r="X932"/>
    </row>
    <row r="933" spans="1:24" x14ac:dyDescent="0.2">
      <c r="A933" s="44"/>
      <c r="B933" s="44"/>
      <c r="C933" s="44"/>
      <c r="D933" s="44"/>
      <c r="E933" s="44"/>
      <c r="F933" s="58"/>
      <c r="G933" s="32"/>
      <c r="H933" s="58"/>
      <c r="I933" s="58"/>
      <c r="J933" s="59"/>
      <c r="K933" s="58"/>
      <c r="L933" s="6"/>
      <c r="M933" s="6"/>
      <c r="N933" s="6"/>
      <c r="O933" s="6"/>
      <c r="P933" s="6"/>
      <c r="Q933" s="6"/>
      <c r="R933" s="6"/>
      <c r="S933" s="6"/>
      <c r="T933" s="6"/>
      <c r="U933"/>
      <c r="V933"/>
      <c r="W933"/>
      <c r="X933"/>
    </row>
    <row r="934" spans="1:24" x14ac:dyDescent="0.2">
      <c r="A934" s="44"/>
      <c r="B934" s="44"/>
      <c r="C934" s="44"/>
      <c r="D934" s="44"/>
      <c r="E934" s="44"/>
      <c r="F934" s="58"/>
      <c r="G934" s="32"/>
      <c r="H934" s="58"/>
      <c r="I934" s="58"/>
      <c r="J934" s="59"/>
      <c r="K934" s="58"/>
      <c r="L934" s="6"/>
      <c r="M934" s="6"/>
      <c r="N934" s="6"/>
      <c r="O934" s="6"/>
      <c r="P934" s="6"/>
      <c r="Q934" s="6"/>
      <c r="R934" s="6"/>
      <c r="S934" s="6"/>
      <c r="T934" s="6"/>
      <c r="U934"/>
      <c r="V934"/>
      <c r="W934"/>
      <c r="X934"/>
    </row>
    <row r="935" spans="1:24" x14ac:dyDescent="0.2">
      <c r="A935" s="44"/>
      <c r="B935" s="44"/>
      <c r="C935" s="44"/>
      <c r="D935" s="44"/>
      <c r="E935" s="44"/>
      <c r="F935" s="58"/>
      <c r="G935" s="32"/>
      <c r="H935" s="58"/>
      <c r="I935" s="58"/>
      <c r="J935" s="59"/>
      <c r="K935" s="58"/>
      <c r="L935" s="6"/>
      <c r="M935" s="6"/>
      <c r="N935" s="6"/>
      <c r="O935" s="6"/>
      <c r="P935" s="6"/>
      <c r="Q935" s="6"/>
      <c r="R935" s="6"/>
      <c r="S935" s="6"/>
      <c r="T935" s="6"/>
      <c r="U935"/>
      <c r="V935"/>
      <c r="W935"/>
      <c r="X935"/>
    </row>
    <row r="936" spans="1:24" x14ac:dyDescent="0.2">
      <c r="A936" s="44"/>
      <c r="B936" s="44"/>
      <c r="C936" s="44"/>
      <c r="D936" s="44"/>
      <c r="E936" s="44"/>
      <c r="F936" s="58"/>
      <c r="G936" s="32"/>
      <c r="H936" s="58"/>
      <c r="I936" s="58"/>
      <c r="J936" s="59"/>
      <c r="K936" s="58"/>
      <c r="L936" s="6"/>
      <c r="M936" s="6"/>
      <c r="N936" s="6"/>
      <c r="O936" s="6"/>
      <c r="P936" s="6"/>
      <c r="Q936" s="6"/>
      <c r="R936" s="6"/>
      <c r="S936" s="6"/>
      <c r="T936" s="6"/>
      <c r="U936"/>
      <c r="V936"/>
      <c r="W936"/>
      <c r="X936"/>
    </row>
    <row r="937" spans="1:24" x14ac:dyDescent="0.2">
      <c r="A937" s="44"/>
      <c r="B937" s="44"/>
      <c r="C937" s="44"/>
      <c r="D937" s="44"/>
      <c r="E937" s="44"/>
      <c r="F937" s="58"/>
      <c r="G937" s="32"/>
      <c r="H937" s="58"/>
      <c r="I937" s="58"/>
      <c r="J937" s="59"/>
      <c r="K937" s="58"/>
      <c r="L937" s="6"/>
      <c r="M937" s="6"/>
      <c r="N937" s="6"/>
      <c r="O937" s="6"/>
      <c r="P937" s="6"/>
      <c r="Q937" s="6"/>
      <c r="R937" s="6"/>
      <c r="S937" s="6"/>
      <c r="T937" s="6"/>
      <c r="U937"/>
      <c r="V937"/>
      <c r="W937"/>
      <c r="X937"/>
    </row>
    <row r="938" spans="1:24" x14ac:dyDescent="0.2">
      <c r="A938" s="44"/>
      <c r="B938" s="44"/>
      <c r="C938" s="44"/>
      <c r="D938" s="44"/>
      <c r="E938" s="44"/>
      <c r="F938" s="58"/>
      <c r="G938" s="32"/>
      <c r="H938" s="58"/>
      <c r="I938" s="58"/>
      <c r="J938" s="59"/>
      <c r="K938" s="58"/>
      <c r="L938" s="6"/>
      <c r="M938" s="6"/>
      <c r="N938" s="6"/>
      <c r="O938" s="6"/>
      <c r="P938" s="6"/>
      <c r="Q938" s="6"/>
      <c r="R938" s="6"/>
      <c r="S938" s="6"/>
      <c r="T938" s="6"/>
      <c r="U938"/>
      <c r="V938"/>
      <c r="W938"/>
      <c r="X938"/>
    </row>
    <row r="939" spans="1:24" x14ac:dyDescent="0.2">
      <c r="A939" s="44"/>
      <c r="B939" s="44"/>
      <c r="C939" s="44"/>
      <c r="D939" s="44"/>
      <c r="E939" s="44"/>
      <c r="F939" s="58"/>
      <c r="G939" s="32"/>
      <c r="H939" s="58"/>
      <c r="I939" s="58"/>
      <c r="J939" s="59"/>
      <c r="K939" s="58"/>
      <c r="L939" s="6"/>
      <c r="M939" s="6"/>
      <c r="N939" s="6"/>
      <c r="O939" s="6"/>
      <c r="P939" s="6"/>
      <c r="Q939" s="6"/>
      <c r="R939" s="6"/>
      <c r="S939" s="6"/>
      <c r="T939" s="6"/>
      <c r="U939"/>
      <c r="V939"/>
      <c r="W939"/>
      <c r="X939"/>
    </row>
    <row r="940" spans="1:24" x14ac:dyDescent="0.2">
      <c r="A940" s="44"/>
      <c r="B940" s="44"/>
      <c r="C940" s="44"/>
      <c r="D940" s="44"/>
      <c r="E940" s="44"/>
      <c r="F940" s="58"/>
      <c r="G940" s="32"/>
      <c r="H940" s="58"/>
      <c r="I940" s="58"/>
      <c r="J940" s="59"/>
      <c r="K940" s="58"/>
      <c r="L940" s="6"/>
      <c r="M940" s="6"/>
      <c r="N940" s="6"/>
      <c r="O940" s="6"/>
      <c r="P940" s="6"/>
      <c r="Q940" s="6"/>
      <c r="R940" s="6"/>
      <c r="S940" s="6"/>
      <c r="T940" s="6"/>
      <c r="U940"/>
      <c r="V940"/>
      <c r="W940"/>
      <c r="X940"/>
    </row>
    <row r="941" spans="1:24" x14ac:dyDescent="0.2">
      <c r="A941" s="44"/>
      <c r="B941" s="44"/>
      <c r="C941" s="44"/>
      <c r="D941" s="44"/>
      <c r="E941" s="44"/>
      <c r="F941" s="58"/>
      <c r="G941" s="32"/>
      <c r="H941" s="58"/>
      <c r="I941" s="58"/>
      <c r="J941" s="59"/>
      <c r="K941" s="58"/>
      <c r="L941" s="6"/>
      <c r="M941" s="6"/>
      <c r="N941" s="6"/>
      <c r="O941" s="6"/>
      <c r="P941" s="6"/>
      <c r="Q941" s="6"/>
      <c r="R941" s="6"/>
      <c r="S941" s="6"/>
      <c r="T941" s="6"/>
      <c r="U941"/>
      <c r="V941"/>
      <c r="W941"/>
      <c r="X941"/>
    </row>
    <row r="942" spans="1:24" x14ac:dyDescent="0.2">
      <c r="A942" s="44"/>
      <c r="B942" s="44"/>
      <c r="C942" s="44"/>
      <c r="D942" s="44"/>
      <c r="E942" s="44"/>
      <c r="F942" s="58"/>
      <c r="G942" s="32"/>
      <c r="H942" s="58"/>
      <c r="I942" s="58"/>
      <c r="J942" s="59"/>
      <c r="K942" s="58"/>
      <c r="L942" s="6"/>
      <c r="M942" s="6"/>
      <c r="N942" s="6"/>
      <c r="O942" s="6"/>
      <c r="P942" s="6"/>
      <c r="Q942" s="6"/>
      <c r="R942" s="6"/>
      <c r="S942" s="6"/>
      <c r="T942" s="6"/>
      <c r="U942"/>
      <c r="V942"/>
      <c r="W942"/>
      <c r="X942"/>
    </row>
    <row r="943" spans="1:24" x14ac:dyDescent="0.2">
      <c r="A943" s="44"/>
      <c r="B943" s="44"/>
      <c r="C943" s="44"/>
      <c r="D943" s="44"/>
      <c r="E943" s="44"/>
      <c r="F943" s="58"/>
      <c r="G943" s="32"/>
      <c r="H943" s="58"/>
      <c r="I943" s="58"/>
      <c r="J943" s="59"/>
      <c r="K943" s="58"/>
      <c r="L943" s="6"/>
      <c r="M943" s="6"/>
      <c r="N943" s="6"/>
      <c r="O943" s="6"/>
      <c r="P943" s="6"/>
      <c r="Q943" s="6"/>
      <c r="R943" s="6"/>
      <c r="S943" s="6"/>
      <c r="T943" s="6"/>
      <c r="U943"/>
      <c r="V943"/>
      <c r="W943"/>
      <c r="X943"/>
    </row>
    <row r="944" spans="1:24" x14ac:dyDescent="0.2">
      <c r="A944" s="44"/>
      <c r="B944" s="44"/>
      <c r="C944" s="44"/>
      <c r="D944" s="44"/>
      <c r="E944" s="44"/>
      <c r="F944" s="58"/>
      <c r="G944" s="32"/>
      <c r="H944" s="58"/>
      <c r="I944" s="58"/>
      <c r="J944" s="59"/>
      <c r="K944" s="58"/>
      <c r="L944" s="6"/>
      <c r="M944" s="6"/>
      <c r="N944" s="6"/>
      <c r="O944" s="6"/>
      <c r="P944" s="6"/>
      <c r="Q944" s="6"/>
      <c r="R944" s="6"/>
      <c r="S944" s="6"/>
      <c r="T944" s="6"/>
      <c r="U944"/>
      <c r="V944"/>
      <c r="W944"/>
      <c r="X944"/>
    </row>
    <row r="945" spans="1:24" x14ac:dyDescent="0.2">
      <c r="A945" s="44"/>
      <c r="B945" s="44"/>
      <c r="C945" s="44"/>
      <c r="D945" s="44"/>
      <c r="E945" s="44"/>
      <c r="F945" s="58"/>
      <c r="G945" s="32"/>
      <c r="H945" s="58"/>
      <c r="I945" s="58"/>
      <c r="J945" s="59"/>
      <c r="K945" s="58"/>
      <c r="L945" s="6"/>
      <c r="M945" s="6"/>
      <c r="N945" s="6"/>
      <c r="O945" s="6"/>
      <c r="P945" s="6"/>
      <c r="Q945" s="6"/>
      <c r="R945" s="6"/>
      <c r="S945" s="6"/>
      <c r="T945" s="6"/>
      <c r="U945"/>
      <c r="V945"/>
      <c r="W945"/>
      <c r="X945"/>
    </row>
    <row r="946" spans="1:24" x14ac:dyDescent="0.2">
      <c r="A946" s="44"/>
      <c r="B946" s="44"/>
      <c r="C946" s="44"/>
      <c r="D946" s="44"/>
      <c r="E946" s="44"/>
      <c r="F946" s="58"/>
      <c r="G946" s="32"/>
      <c r="H946" s="58"/>
      <c r="I946" s="58"/>
      <c r="J946" s="59"/>
      <c r="K946" s="58"/>
      <c r="L946" s="6"/>
      <c r="M946" s="6"/>
      <c r="N946" s="6"/>
      <c r="O946" s="6"/>
      <c r="P946" s="6"/>
      <c r="Q946" s="6"/>
      <c r="R946" s="6"/>
      <c r="S946" s="6"/>
      <c r="T946" s="6"/>
      <c r="U946"/>
      <c r="V946"/>
      <c r="W946"/>
      <c r="X946"/>
    </row>
    <row r="947" spans="1:24" x14ac:dyDescent="0.2">
      <c r="A947" s="44"/>
      <c r="B947" s="44"/>
      <c r="C947" s="44"/>
      <c r="D947" s="44"/>
      <c r="E947" s="44"/>
      <c r="F947" s="58"/>
      <c r="G947" s="32"/>
      <c r="H947" s="58"/>
      <c r="I947" s="58"/>
      <c r="J947" s="59"/>
      <c r="K947" s="58"/>
      <c r="L947" s="6"/>
      <c r="M947" s="6"/>
      <c r="N947" s="6"/>
      <c r="O947" s="6"/>
      <c r="P947" s="6"/>
      <c r="Q947" s="6"/>
      <c r="R947" s="6"/>
      <c r="S947" s="6"/>
      <c r="T947" s="6"/>
      <c r="U947"/>
      <c r="V947"/>
      <c r="W947"/>
      <c r="X947"/>
    </row>
    <row r="948" spans="1:24" x14ac:dyDescent="0.2">
      <c r="A948" s="44"/>
      <c r="B948" s="44"/>
      <c r="C948" s="44"/>
      <c r="D948" s="44"/>
      <c r="E948" s="44"/>
      <c r="F948" s="58"/>
      <c r="G948" s="32"/>
      <c r="H948" s="58"/>
      <c r="I948" s="58"/>
      <c r="J948" s="59"/>
      <c r="K948" s="58"/>
      <c r="L948" s="6"/>
      <c r="M948" s="6"/>
      <c r="N948" s="6"/>
      <c r="O948" s="6"/>
      <c r="P948" s="6"/>
      <c r="Q948" s="6"/>
      <c r="R948" s="6"/>
      <c r="S948" s="6"/>
      <c r="T948" s="6"/>
      <c r="U948"/>
      <c r="V948"/>
      <c r="W948"/>
      <c r="X948"/>
    </row>
    <row r="949" spans="1:24" x14ac:dyDescent="0.2">
      <c r="A949" s="44"/>
      <c r="B949" s="44"/>
      <c r="C949" s="44"/>
      <c r="D949" s="44"/>
      <c r="E949" s="44"/>
      <c r="F949" s="58"/>
      <c r="G949" s="32"/>
      <c r="H949" s="58"/>
      <c r="I949" s="58"/>
      <c r="J949" s="59"/>
      <c r="K949" s="58"/>
      <c r="L949" s="6"/>
      <c r="M949" s="6"/>
      <c r="N949" s="6"/>
      <c r="O949" s="6"/>
      <c r="P949" s="6"/>
      <c r="Q949" s="6"/>
      <c r="R949" s="6"/>
      <c r="S949" s="6"/>
      <c r="T949" s="6"/>
      <c r="U949"/>
      <c r="V949"/>
      <c r="W949"/>
      <c r="X949"/>
    </row>
    <row r="950" spans="1:24" x14ac:dyDescent="0.2">
      <c r="A950" s="44"/>
      <c r="B950" s="44"/>
      <c r="C950" s="44"/>
      <c r="D950" s="44"/>
      <c r="E950" s="44"/>
      <c r="F950" s="58"/>
      <c r="G950" s="32"/>
      <c r="H950" s="58"/>
      <c r="I950" s="58"/>
      <c r="J950" s="59"/>
      <c r="K950" s="58"/>
      <c r="L950" s="6"/>
      <c r="M950" s="6"/>
      <c r="N950" s="6"/>
      <c r="O950" s="6"/>
      <c r="P950" s="6"/>
      <c r="Q950" s="6"/>
      <c r="R950" s="6"/>
      <c r="S950" s="6"/>
      <c r="T950" s="6"/>
      <c r="U950"/>
      <c r="V950"/>
      <c r="W950"/>
      <c r="X950"/>
    </row>
    <row r="951" spans="1:24" x14ac:dyDescent="0.2">
      <c r="A951" s="44"/>
      <c r="B951" s="44"/>
      <c r="C951" s="44"/>
      <c r="D951" s="44"/>
      <c r="E951" s="44"/>
      <c r="F951" s="58"/>
      <c r="G951" s="32"/>
      <c r="H951" s="58"/>
      <c r="I951" s="58"/>
      <c r="J951" s="59"/>
      <c r="K951" s="58"/>
      <c r="L951" s="6"/>
      <c r="M951" s="6"/>
      <c r="N951" s="6"/>
      <c r="O951" s="6"/>
      <c r="P951" s="6"/>
      <c r="Q951" s="6"/>
      <c r="R951" s="6"/>
      <c r="S951" s="6"/>
      <c r="T951" s="6"/>
      <c r="U951"/>
      <c r="V951"/>
      <c r="W951"/>
      <c r="X951"/>
    </row>
    <row r="952" spans="1:24" x14ac:dyDescent="0.2">
      <c r="A952" s="44"/>
      <c r="B952" s="44"/>
      <c r="C952" s="44"/>
      <c r="D952" s="44"/>
      <c r="E952" s="44"/>
      <c r="F952" s="58"/>
      <c r="G952" s="32"/>
      <c r="H952" s="58"/>
      <c r="I952" s="58"/>
      <c r="J952" s="59"/>
      <c r="K952" s="58"/>
      <c r="L952" s="6"/>
      <c r="M952" s="6"/>
      <c r="N952" s="6"/>
      <c r="O952" s="6"/>
      <c r="P952" s="6"/>
      <c r="Q952" s="6"/>
      <c r="R952" s="6"/>
      <c r="S952" s="6"/>
      <c r="T952" s="6"/>
      <c r="U952"/>
      <c r="V952"/>
      <c r="W952"/>
      <c r="X952"/>
    </row>
    <row r="953" spans="1:24" x14ac:dyDescent="0.2">
      <c r="A953" s="44"/>
      <c r="B953" s="44"/>
      <c r="C953" s="44"/>
      <c r="D953" s="44"/>
      <c r="E953" s="44"/>
      <c r="F953" s="58"/>
      <c r="G953" s="32"/>
      <c r="H953" s="58"/>
      <c r="I953" s="58"/>
      <c r="J953" s="59"/>
      <c r="K953" s="58"/>
      <c r="L953" s="6"/>
      <c r="M953" s="6"/>
      <c r="N953" s="6"/>
      <c r="O953" s="6"/>
      <c r="P953" s="6"/>
      <c r="Q953" s="6"/>
      <c r="R953" s="6"/>
      <c r="S953" s="6"/>
      <c r="T953" s="6"/>
      <c r="U953"/>
      <c r="V953"/>
      <c r="W953"/>
      <c r="X953"/>
    </row>
    <row r="954" spans="1:24" x14ac:dyDescent="0.2">
      <c r="A954" s="44"/>
      <c r="B954" s="44"/>
      <c r="C954" s="44"/>
      <c r="D954" s="44"/>
      <c r="E954" s="44"/>
      <c r="F954" s="58"/>
      <c r="G954" s="32"/>
      <c r="H954" s="58"/>
      <c r="I954" s="58"/>
      <c r="J954" s="59"/>
      <c r="K954" s="58"/>
      <c r="L954" s="6"/>
      <c r="M954" s="6"/>
      <c r="N954" s="6"/>
      <c r="O954" s="6"/>
      <c r="P954" s="6"/>
      <c r="Q954" s="6"/>
      <c r="R954" s="6"/>
      <c r="S954" s="6"/>
      <c r="T954" s="6"/>
      <c r="U954"/>
      <c r="V954"/>
      <c r="W954"/>
      <c r="X954"/>
    </row>
    <row r="955" spans="1:24" x14ac:dyDescent="0.2">
      <c r="A955" s="44"/>
      <c r="B955" s="44"/>
      <c r="C955" s="44"/>
      <c r="D955" s="44"/>
      <c r="E955" s="44"/>
      <c r="F955" s="58"/>
      <c r="G955" s="32"/>
      <c r="H955" s="58"/>
      <c r="I955" s="58"/>
      <c r="J955" s="59"/>
      <c r="K955" s="58"/>
      <c r="L955" s="6"/>
      <c r="M955" s="6"/>
      <c r="N955" s="6"/>
      <c r="O955" s="6"/>
      <c r="P955" s="6"/>
      <c r="Q955" s="6"/>
      <c r="R955" s="6"/>
      <c r="S955" s="6"/>
      <c r="T955" s="6"/>
      <c r="U955"/>
      <c r="V955"/>
      <c r="W955"/>
      <c r="X955"/>
    </row>
    <row r="956" spans="1:24" x14ac:dyDescent="0.2">
      <c r="A956" s="44"/>
      <c r="B956" s="44"/>
      <c r="C956" s="44"/>
      <c r="D956" s="44"/>
      <c r="E956" s="44"/>
      <c r="F956" s="58"/>
      <c r="G956" s="32"/>
      <c r="H956" s="58"/>
      <c r="I956" s="58"/>
      <c r="J956" s="59"/>
      <c r="K956" s="58"/>
      <c r="L956" s="6"/>
      <c r="M956" s="6"/>
      <c r="N956" s="6"/>
      <c r="O956" s="6"/>
      <c r="P956" s="6"/>
      <c r="Q956" s="6"/>
      <c r="R956" s="6"/>
      <c r="S956" s="6"/>
      <c r="T956" s="6"/>
      <c r="U956"/>
      <c r="V956"/>
      <c r="W956"/>
      <c r="X956"/>
    </row>
    <row r="957" spans="1:24" x14ac:dyDescent="0.2">
      <c r="A957" s="44"/>
      <c r="B957" s="44"/>
      <c r="C957" s="44"/>
      <c r="D957" s="44"/>
      <c r="E957" s="44"/>
      <c r="F957" s="58"/>
      <c r="G957" s="32"/>
      <c r="H957" s="58"/>
      <c r="I957" s="58"/>
      <c r="J957" s="59"/>
      <c r="K957" s="58"/>
      <c r="L957" s="6"/>
      <c r="M957" s="6"/>
      <c r="N957" s="6"/>
      <c r="O957" s="6"/>
      <c r="P957" s="6"/>
      <c r="Q957" s="6"/>
      <c r="R957" s="6"/>
      <c r="S957" s="6"/>
      <c r="T957" s="6"/>
      <c r="U957"/>
      <c r="V957"/>
      <c r="W957"/>
      <c r="X957"/>
    </row>
    <row r="958" spans="1:24" x14ac:dyDescent="0.2">
      <c r="A958" s="44"/>
      <c r="B958" s="44"/>
      <c r="C958" s="44"/>
      <c r="D958" s="44"/>
      <c r="E958" s="44"/>
      <c r="F958" s="58"/>
      <c r="G958" s="32"/>
      <c r="H958" s="58"/>
      <c r="I958" s="58"/>
      <c r="J958" s="59"/>
      <c r="K958" s="58"/>
      <c r="L958" s="6"/>
      <c r="M958" s="6"/>
      <c r="N958" s="6"/>
      <c r="O958" s="6"/>
      <c r="P958" s="6"/>
      <c r="Q958" s="6"/>
      <c r="R958" s="6"/>
      <c r="S958" s="6"/>
      <c r="T958" s="6"/>
      <c r="U958"/>
      <c r="V958"/>
      <c r="W958"/>
      <c r="X958"/>
    </row>
    <row r="959" spans="1:24" x14ac:dyDescent="0.2">
      <c r="A959" s="44"/>
      <c r="B959" s="44"/>
      <c r="C959" s="44"/>
      <c r="D959" s="44"/>
      <c r="E959" s="44"/>
      <c r="F959" s="58"/>
      <c r="G959" s="32"/>
      <c r="H959" s="58"/>
      <c r="I959" s="58"/>
      <c r="J959" s="59"/>
      <c r="K959" s="58"/>
      <c r="L959" s="6"/>
      <c r="M959" s="6"/>
      <c r="N959" s="6"/>
      <c r="O959" s="6"/>
      <c r="P959" s="6"/>
      <c r="Q959" s="6"/>
      <c r="R959" s="6"/>
      <c r="S959" s="6"/>
      <c r="T959" s="6"/>
      <c r="U959"/>
      <c r="V959"/>
      <c r="W959"/>
      <c r="X959"/>
    </row>
    <row r="960" spans="1:24" x14ac:dyDescent="0.2">
      <c r="A960" s="44"/>
      <c r="B960" s="44"/>
      <c r="C960" s="44"/>
      <c r="D960" s="44"/>
      <c r="E960" s="44"/>
      <c r="F960" s="58"/>
      <c r="G960" s="32"/>
      <c r="H960" s="58"/>
      <c r="I960" s="58"/>
      <c r="J960" s="59"/>
      <c r="K960" s="58"/>
      <c r="L960" s="6"/>
      <c r="M960" s="6"/>
      <c r="N960" s="6"/>
      <c r="O960" s="6"/>
      <c r="P960" s="6"/>
      <c r="Q960" s="6"/>
      <c r="R960" s="6"/>
      <c r="S960" s="6"/>
      <c r="T960" s="6"/>
      <c r="U960"/>
      <c r="V960"/>
      <c r="W960"/>
      <c r="X960"/>
    </row>
    <row r="961" spans="1:24" x14ac:dyDescent="0.2">
      <c r="A961" s="44"/>
      <c r="B961" s="44"/>
      <c r="C961" s="44"/>
      <c r="D961" s="44"/>
      <c r="E961" s="44"/>
      <c r="F961" s="58"/>
      <c r="G961" s="32"/>
      <c r="H961" s="58"/>
      <c r="I961" s="58"/>
      <c r="J961" s="59"/>
      <c r="K961" s="58"/>
      <c r="L961" s="6"/>
      <c r="M961" s="6"/>
      <c r="N961" s="6"/>
      <c r="O961" s="6"/>
      <c r="P961" s="6"/>
      <c r="Q961" s="6"/>
      <c r="R961" s="6"/>
      <c r="S961" s="6"/>
      <c r="T961" s="6"/>
      <c r="U961"/>
      <c r="V961"/>
      <c r="W961"/>
      <c r="X961"/>
    </row>
    <row r="962" spans="1:24" x14ac:dyDescent="0.2">
      <c r="A962" s="44"/>
      <c r="B962" s="44"/>
      <c r="C962" s="44"/>
      <c r="D962" s="44"/>
      <c r="E962" s="44"/>
      <c r="F962" s="58"/>
      <c r="G962" s="32"/>
      <c r="H962" s="58"/>
      <c r="I962" s="58"/>
      <c r="J962" s="59"/>
      <c r="K962" s="58"/>
      <c r="L962" s="6"/>
      <c r="M962" s="6"/>
      <c r="N962" s="6"/>
      <c r="O962" s="6"/>
      <c r="P962" s="6"/>
      <c r="Q962" s="6"/>
      <c r="R962" s="6"/>
      <c r="S962" s="6"/>
      <c r="T962" s="6"/>
      <c r="U962"/>
      <c r="V962"/>
      <c r="W962"/>
      <c r="X962"/>
    </row>
    <row r="963" spans="1:24" x14ac:dyDescent="0.2">
      <c r="A963" s="44"/>
      <c r="B963" s="44"/>
      <c r="C963" s="44"/>
      <c r="D963" s="44"/>
      <c r="E963" s="44"/>
      <c r="F963" s="58"/>
      <c r="G963" s="32"/>
      <c r="H963" s="58"/>
      <c r="I963" s="58"/>
      <c r="J963" s="59"/>
      <c r="K963" s="58"/>
      <c r="L963" s="6"/>
      <c r="M963" s="6"/>
      <c r="N963" s="6"/>
      <c r="O963" s="6"/>
      <c r="P963" s="6"/>
      <c r="Q963" s="6"/>
      <c r="R963" s="6"/>
      <c r="S963" s="6"/>
      <c r="T963" s="6"/>
      <c r="U963"/>
      <c r="V963"/>
      <c r="W963"/>
      <c r="X963"/>
    </row>
    <row r="964" spans="1:24" x14ac:dyDescent="0.2">
      <c r="A964" s="44"/>
      <c r="B964" s="44"/>
      <c r="C964" s="44"/>
      <c r="D964" s="44"/>
      <c r="E964" s="44"/>
      <c r="F964" s="58"/>
      <c r="G964" s="32"/>
      <c r="H964" s="58"/>
      <c r="I964" s="58"/>
      <c r="J964" s="59"/>
      <c r="K964" s="58"/>
      <c r="L964" s="6"/>
      <c r="M964" s="6"/>
      <c r="N964" s="6"/>
      <c r="O964" s="6"/>
      <c r="P964" s="6"/>
      <c r="Q964" s="6"/>
      <c r="R964" s="6"/>
      <c r="S964" s="6"/>
      <c r="T964" s="6"/>
      <c r="U964"/>
      <c r="V964"/>
      <c r="W964"/>
      <c r="X964"/>
    </row>
    <row r="965" spans="1:24" x14ac:dyDescent="0.2">
      <c r="A965" s="44"/>
      <c r="B965" s="44"/>
      <c r="C965" s="44"/>
      <c r="D965" s="44"/>
      <c r="E965" s="44"/>
      <c r="F965" s="58"/>
      <c r="G965" s="32"/>
      <c r="H965" s="58"/>
      <c r="I965" s="58"/>
      <c r="J965" s="59"/>
      <c r="K965" s="58"/>
      <c r="L965" s="6"/>
      <c r="M965" s="6"/>
      <c r="N965" s="6"/>
      <c r="O965" s="6"/>
      <c r="P965" s="6"/>
      <c r="Q965" s="6"/>
      <c r="R965" s="6"/>
      <c r="S965" s="6"/>
      <c r="T965" s="6"/>
      <c r="U965"/>
      <c r="V965"/>
      <c r="W965"/>
      <c r="X965"/>
    </row>
    <row r="966" spans="1:24" x14ac:dyDescent="0.2">
      <c r="A966" s="44"/>
      <c r="B966" s="44"/>
      <c r="C966" s="44"/>
      <c r="D966" s="44"/>
      <c r="E966" s="44"/>
      <c r="F966" s="58"/>
      <c r="G966" s="32"/>
      <c r="H966" s="58"/>
      <c r="I966" s="58"/>
      <c r="J966" s="59"/>
      <c r="K966" s="58"/>
      <c r="L966" s="6"/>
      <c r="M966" s="6"/>
      <c r="N966" s="6"/>
      <c r="O966" s="6"/>
      <c r="P966" s="6"/>
      <c r="Q966" s="6"/>
      <c r="R966" s="6"/>
      <c r="S966" s="6"/>
      <c r="T966" s="6"/>
      <c r="U966"/>
      <c r="V966"/>
      <c r="W966"/>
      <c r="X966"/>
    </row>
    <row r="967" spans="1:24" x14ac:dyDescent="0.2">
      <c r="A967" s="44"/>
      <c r="B967" s="44"/>
      <c r="C967" s="44"/>
      <c r="D967" s="44"/>
      <c r="E967" s="44"/>
      <c r="F967" s="58"/>
      <c r="G967" s="32"/>
      <c r="H967" s="58"/>
      <c r="I967" s="58"/>
      <c r="J967" s="59"/>
      <c r="K967" s="58"/>
      <c r="L967" s="6"/>
      <c r="M967" s="6"/>
      <c r="N967" s="6"/>
      <c r="O967" s="6"/>
      <c r="P967" s="6"/>
      <c r="Q967" s="6"/>
      <c r="R967" s="6"/>
      <c r="S967" s="6"/>
      <c r="T967" s="6"/>
      <c r="U967"/>
      <c r="V967"/>
      <c r="W967"/>
      <c r="X967"/>
    </row>
    <row r="968" spans="1:24" x14ac:dyDescent="0.2">
      <c r="A968" s="44"/>
      <c r="B968" s="44"/>
      <c r="C968" s="44"/>
      <c r="D968" s="44"/>
      <c r="E968" s="44"/>
      <c r="F968" s="58"/>
      <c r="G968" s="32"/>
      <c r="H968" s="58"/>
      <c r="I968" s="58"/>
      <c r="J968" s="59"/>
      <c r="K968" s="58"/>
      <c r="L968" s="6"/>
      <c r="M968" s="6"/>
      <c r="N968" s="6"/>
      <c r="O968" s="6"/>
      <c r="P968" s="6"/>
      <c r="Q968" s="6"/>
      <c r="R968" s="6"/>
      <c r="S968" s="6"/>
      <c r="T968" s="6"/>
      <c r="U968"/>
      <c r="V968"/>
      <c r="W968"/>
      <c r="X968"/>
    </row>
    <row r="969" spans="1:24" x14ac:dyDescent="0.2">
      <c r="A969" s="44"/>
      <c r="B969" s="44"/>
      <c r="C969" s="44"/>
      <c r="D969" s="44"/>
      <c r="E969" s="44"/>
      <c r="F969" s="58"/>
      <c r="G969" s="32"/>
      <c r="H969" s="58"/>
      <c r="I969" s="58"/>
      <c r="J969" s="59"/>
      <c r="K969" s="58"/>
      <c r="L969" s="6"/>
      <c r="M969" s="6"/>
      <c r="N969" s="6"/>
      <c r="O969" s="6"/>
      <c r="P969" s="6"/>
      <c r="Q969" s="6"/>
      <c r="R969" s="6"/>
      <c r="S969" s="6"/>
      <c r="T969" s="6"/>
      <c r="U969"/>
      <c r="V969"/>
      <c r="W969"/>
      <c r="X969"/>
    </row>
    <row r="970" spans="1:24" x14ac:dyDescent="0.2">
      <c r="A970" s="44"/>
      <c r="B970" s="44"/>
      <c r="C970" s="44"/>
      <c r="D970" s="44"/>
      <c r="E970" s="44"/>
      <c r="F970" s="58"/>
      <c r="G970" s="32"/>
      <c r="H970" s="58"/>
      <c r="I970" s="58"/>
      <c r="J970" s="59"/>
      <c r="K970" s="58"/>
      <c r="L970" s="6"/>
      <c r="M970" s="6"/>
      <c r="N970" s="6"/>
      <c r="O970" s="6"/>
      <c r="P970" s="6"/>
      <c r="Q970" s="6"/>
      <c r="R970" s="6"/>
      <c r="S970" s="6"/>
      <c r="T970" s="6"/>
      <c r="U970"/>
      <c r="V970"/>
      <c r="W970"/>
      <c r="X970"/>
    </row>
    <row r="971" spans="1:24" x14ac:dyDescent="0.2">
      <c r="A971" s="44"/>
      <c r="B971" s="44"/>
      <c r="C971" s="44"/>
      <c r="D971" s="44"/>
      <c r="E971" s="44"/>
      <c r="F971" s="58"/>
      <c r="G971" s="32"/>
      <c r="H971" s="58"/>
      <c r="I971" s="58"/>
      <c r="J971" s="59"/>
      <c r="K971" s="58"/>
      <c r="L971" s="6"/>
      <c r="M971" s="6"/>
      <c r="N971" s="6"/>
      <c r="O971" s="6"/>
      <c r="P971" s="6"/>
      <c r="Q971" s="6"/>
      <c r="R971" s="6"/>
      <c r="S971" s="6"/>
      <c r="T971" s="6"/>
      <c r="U971"/>
      <c r="V971"/>
      <c r="W971"/>
      <c r="X971"/>
    </row>
    <row r="972" spans="1:24" x14ac:dyDescent="0.2">
      <c r="A972" s="44"/>
      <c r="B972" s="44"/>
      <c r="C972" s="44"/>
      <c r="D972" s="44"/>
      <c r="E972" s="44"/>
      <c r="F972" s="58"/>
      <c r="G972" s="32"/>
      <c r="H972" s="58"/>
      <c r="I972" s="58"/>
      <c r="J972" s="59"/>
      <c r="K972" s="58"/>
      <c r="L972" s="6"/>
      <c r="M972" s="6"/>
      <c r="N972" s="6"/>
      <c r="O972" s="6"/>
      <c r="P972" s="6"/>
      <c r="Q972" s="6"/>
      <c r="R972" s="6"/>
      <c r="S972" s="6"/>
      <c r="T972" s="6"/>
      <c r="U972"/>
      <c r="V972"/>
      <c r="W972"/>
      <c r="X972"/>
    </row>
    <row r="973" spans="1:24" x14ac:dyDescent="0.2">
      <c r="A973" s="44"/>
      <c r="B973" s="44"/>
      <c r="C973" s="44"/>
      <c r="D973" s="44"/>
      <c r="E973" s="44"/>
      <c r="F973" s="58"/>
      <c r="G973" s="32"/>
      <c r="H973" s="58"/>
      <c r="I973" s="58"/>
      <c r="J973" s="59"/>
      <c r="K973" s="58"/>
      <c r="L973" s="6"/>
      <c r="M973" s="6"/>
      <c r="N973" s="6"/>
      <c r="O973" s="6"/>
      <c r="P973" s="6"/>
      <c r="Q973" s="6"/>
      <c r="R973" s="6"/>
      <c r="S973" s="6"/>
      <c r="T973" s="6"/>
      <c r="U973"/>
      <c r="V973"/>
      <c r="W973"/>
      <c r="X973"/>
    </row>
    <row r="974" spans="1:24" x14ac:dyDescent="0.2">
      <c r="A974" s="44"/>
      <c r="B974" s="44"/>
      <c r="C974" s="44"/>
      <c r="D974" s="44"/>
      <c r="E974" s="44"/>
      <c r="F974" s="58"/>
      <c r="G974" s="32"/>
      <c r="H974" s="58"/>
      <c r="I974" s="58"/>
      <c r="J974" s="59"/>
      <c r="K974" s="58"/>
      <c r="L974" s="6"/>
      <c r="M974" s="6"/>
      <c r="N974" s="6"/>
      <c r="O974" s="6"/>
      <c r="P974" s="6"/>
      <c r="Q974" s="6"/>
      <c r="R974" s="6"/>
      <c r="S974" s="6"/>
      <c r="T974" s="6"/>
      <c r="U974"/>
      <c r="V974"/>
      <c r="W974"/>
      <c r="X974"/>
    </row>
    <row r="975" spans="1:24" x14ac:dyDescent="0.2">
      <c r="A975" s="44"/>
      <c r="B975" s="44"/>
      <c r="C975" s="44"/>
      <c r="D975" s="44"/>
      <c r="E975" s="44"/>
      <c r="F975" s="58"/>
      <c r="G975" s="32"/>
      <c r="H975" s="58"/>
      <c r="I975" s="58"/>
      <c r="J975" s="59"/>
      <c r="K975" s="58"/>
      <c r="L975" s="6"/>
      <c r="M975" s="6"/>
      <c r="N975" s="6"/>
      <c r="O975" s="6"/>
      <c r="P975" s="6"/>
      <c r="Q975" s="6"/>
      <c r="R975" s="6"/>
      <c r="S975" s="6"/>
      <c r="T975" s="6"/>
      <c r="U975"/>
      <c r="V975"/>
      <c r="W975"/>
      <c r="X975"/>
    </row>
    <row r="976" spans="1:24" x14ac:dyDescent="0.2">
      <c r="A976" s="44"/>
      <c r="B976" s="44"/>
      <c r="C976" s="44"/>
      <c r="D976" s="44"/>
      <c r="E976" s="44"/>
      <c r="F976" s="58"/>
      <c r="G976" s="32"/>
      <c r="H976" s="58"/>
      <c r="I976" s="58"/>
      <c r="J976" s="59"/>
      <c r="K976" s="58"/>
      <c r="L976" s="6"/>
      <c r="M976" s="6"/>
      <c r="N976" s="6"/>
      <c r="O976" s="6"/>
      <c r="P976" s="6"/>
      <c r="Q976" s="6"/>
      <c r="R976" s="6"/>
      <c r="S976" s="6"/>
      <c r="T976" s="6"/>
      <c r="U976"/>
      <c r="V976"/>
      <c r="W976"/>
      <c r="X976"/>
    </row>
    <row r="977" spans="1:24" x14ac:dyDescent="0.2">
      <c r="A977" s="44"/>
      <c r="B977" s="44"/>
      <c r="C977" s="44"/>
      <c r="D977" s="44"/>
      <c r="E977" s="44"/>
      <c r="F977" s="58"/>
      <c r="G977" s="32"/>
      <c r="H977" s="58"/>
      <c r="I977" s="58"/>
      <c r="J977" s="59"/>
      <c r="K977" s="58"/>
      <c r="L977" s="6"/>
      <c r="M977" s="6"/>
      <c r="N977" s="6"/>
      <c r="O977" s="6"/>
      <c r="P977" s="6"/>
      <c r="Q977" s="6"/>
      <c r="R977" s="6"/>
      <c r="S977" s="6"/>
      <c r="T977" s="6"/>
      <c r="U977"/>
      <c r="V977"/>
      <c r="W977"/>
      <c r="X977"/>
    </row>
    <row r="978" spans="1:24" x14ac:dyDescent="0.2">
      <c r="A978" s="44"/>
      <c r="B978" s="44"/>
      <c r="C978" s="44"/>
      <c r="D978" s="44"/>
      <c r="E978" s="44"/>
      <c r="F978" s="58"/>
      <c r="G978" s="32"/>
      <c r="H978" s="58"/>
      <c r="I978" s="58"/>
      <c r="J978" s="59"/>
      <c r="K978" s="58"/>
      <c r="L978" s="6"/>
      <c r="M978" s="6"/>
      <c r="N978" s="6"/>
      <c r="O978" s="6"/>
      <c r="P978" s="6"/>
      <c r="Q978" s="6"/>
      <c r="R978" s="6"/>
      <c r="S978" s="6"/>
      <c r="T978" s="6"/>
      <c r="U978"/>
      <c r="V978"/>
      <c r="W978"/>
      <c r="X978"/>
    </row>
    <row r="979" spans="1:24" x14ac:dyDescent="0.2">
      <c r="A979" s="44"/>
      <c r="B979" s="44"/>
      <c r="C979" s="44"/>
      <c r="D979" s="44"/>
      <c r="E979" s="44"/>
      <c r="F979" s="58"/>
      <c r="G979" s="32"/>
      <c r="H979" s="58"/>
      <c r="I979" s="58"/>
      <c r="J979" s="59"/>
      <c r="K979" s="58"/>
      <c r="L979" s="6"/>
      <c r="M979" s="6"/>
      <c r="N979" s="6"/>
      <c r="O979" s="6"/>
      <c r="P979" s="6"/>
      <c r="Q979" s="6"/>
      <c r="R979" s="6"/>
      <c r="S979" s="6"/>
      <c r="T979" s="6"/>
      <c r="U979"/>
      <c r="V979"/>
      <c r="W979"/>
      <c r="X979"/>
    </row>
    <row r="980" spans="1:24" x14ac:dyDescent="0.2">
      <c r="A980" s="44"/>
      <c r="B980" s="44"/>
      <c r="C980" s="44"/>
      <c r="D980" s="44"/>
      <c r="E980" s="44"/>
      <c r="F980" s="58"/>
      <c r="G980" s="32"/>
      <c r="H980" s="58"/>
      <c r="I980" s="58"/>
      <c r="J980" s="59"/>
      <c r="K980" s="58"/>
      <c r="L980" s="6"/>
      <c r="M980" s="6"/>
      <c r="N980" s="6"/>
      <c r="O980" s="6"/>
      <c r="P980" s="6"/>
      <c r="Q980" s="6"/>
      <c r="R980" s="6"/>
      <c r="S980" s="6"/>
      <c r="T980" s="6"/>
      <c r="U980"/>
      <c r="V980"/>
      <c r="W980"/>
      <c r="X980"/>
    </row>
    <row r="981" spans="1:24" x14ac:dyDescent="0.2">
      <c r="A981" s="44"/>
      <c r="B981" s="44"/>
      <c r="C981" s="44"/>
      <c r="D981" s="44"/>
      <c r="E981" s="44"/>
      <c r="F981" s="58"/>
      <c r="G981" s="32"/>
      <c r="H981" s="58"/>
      <c r="I981" s="58"/>
      <c r="J981" s="59"/>
      <c r="K981" s="58"/>
      <c r="L981" s="6"/>
      <c r="M981" s="6"/>
      <c r="N981" s="6"/>
      <c r="O981" s="6"/>
      <c r="P981" s="6"/>
      <c r="Q981" s="6"/>
      <c r="R981" s="6"/>
      <c r="S981" s="6"/>
      <c r="T981" s="6"/>
      <c r="U981"/>
      <c r="V981"/>
      <c r="W981"/>
      <c r="X981"/>
    </row>
    <row r="982" spans="1:24" x14ac:dyDescent="0.2">
      <c r="A982" s="44"/>
      <c r="B982" s="44"/>
      <c r="C982" s="44"/>
      <c r="D982" s="44"/>
      <c r="E982" s="44"/>
      <c r="F982" s="58"/>
      <c r="G982" s="32"/>
      <c r="H982" s="58"/>
      <c r="I982" s="58"/>
      <c r="J982" s="59"/>
      <c r="K982" s="58"/>
      <c r="L982" s="6"/>
      <c r="M982" s="6"/>
      <c r="N982" s="6"/>
      <c r="O982" s="6"/>
      <c r="P982" s="6"/>
      <c r="Q982" s="6"/>
      <c r="R982" s="6"/>
      <c r="S982" s="6"/>
      <c r="T982" s="6"/>
      <c r="U982"/>
      <c r="V982"/>
      <c r="W982"/>
      <c r="X982"/>
    </row>
    <row r="983" spans="1:24" x14ac:dyDescent="0.2">
      <c r="A983" s="44"/>
      <c r="B983" s="44"/>
      <c r="C983" s="44"/>
      <c r="D983" s="44"/>
      <c r="E983" s="44"/>
      <c r="F983" s="58"/>
      <c r="G983" s="32"/>
      <c r="H983" s="58"/>
      <c r="I983" s="58"/>
      <c r="J983" s="59"/>
      <c r="K983" s="58"/>
      <c r="L983" s="6"/>
      <c r="M983" s="6"/>
      <c r="N983" s="6"/>
      <c r="O983" s="6"/>
      <c r="P983" s="6"/>
      <c r="Q983" s="6"/>
      <c r="R983" s="6"/>
      <c r="S983" s="6"/>
      <c r="T983" s="6"/>
      <c r="U983"/>
      <c r="V983"/>
      <c r="W983"/>
      <c r="X983"/>
    </row>
    <row r="984" spans="1:24" x14ac:dyDescent="0.2">
      <c r="A984" s="44"/>
      <c r="B984" s="44"/>
      <c r="C984" s="44"/>
      <c r="D984" s="44"/>
      <c r="E984" s="44"/>
      <c r="F984" s="58"/>
      <c r="G984" s="32"/>
      <c r="H984" s="58"/>
      <c r="I984" s="58"/>
      <c r="J984" s="59"/>
      <c r="K984" s="58"/>
      <c r="L984" s="6"/>
      <c r="M984" s="6"/>
      <c r="N984" s="6"/>
      <c r="O984" s="6"/>
      <c r="P984" s="6"/>
      <c r="Q984" s="6"/>
      <c r="R984" s="6"/>
      <c r="S984" s="6"/>
      <c r="T984" s="6"/>
      <c r="U984"/>
      <c r="V984"/>
      <c r="W984"/>
      <c r="X984"/>
    </row>
    <row r="985" spans="1:24" x14ac:dyDescent="0.2">
      <c r="A985" s="44"/>
      <c r="B985" s="44"/>
      <c r="C985" s="44"/>
      <c r="D985" s="44"/>
      <c r="E985" s="44"/>
      <c r="F985" s="58"/>
      <c r="G985" s="32"/>
      <c r="H985" s="58"/>
      <c r="I985" s="58"/>
      <c r="J985" s="59"/>
      <c r="K985" s="58"/>
      <c r="L985" s="6"/>
      <c r="M985" s="6"/>
      <c r="N985" s="6"/>
      <c r="O985" s="6"/>
      <c r="P985" s="6"/>
      <c r="Q985" s="6"/>
      <c r="R985" s="6"/>
      <c r="S985" s="6"/>
      <c r="T985" s="6"/>
      <c r="U985"/>
      <c r="V985"/>
      <c r="W985"/>
      <c r="X985"/>
    </row>
    <row r="986" spans="1:24" x14ac:dyDescent="0.2">
      <c r="A986" s="44"/>
      <c r="B986" s="44"/>
      <c r="C986" s="44"/>
      <c r="D986" s="44"/>
      <c r="E986" s="44"/>
      <c r="F986" s="58"/>
      <c r="G986" s="32"/>
      <c r="H986" s="58"/>
      <c r="I986" s="58"/>
      <c r="J986" s="59"/>
      <c r="K986" s="58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2">
      <c r="A987" s="44"/>
      <c r="B987" s="44"/>
      <c r="C987" s="44"/>
      <c r="D987" s="44"/>
      <c r="E987" s="44"/>
      <c r="F987" s="58"/>
      <c r="G987" s="32"/>
      <c r="H987" s="58"/>
      <c r="I987" s="58"/>
      <c r="J987" s="59"/>
      <c r="K987" s="58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spans="1:24" x14ac:dyDescent="0.2">
      <c r="A988" s="44"/>
      <c r="B988" s="44"/>
      <c r="C988" s="44"/>
      <c r="D988" s="44"/>
      <c r="E988" s="44"/>
      <c r="F988" s="58"/>
      <c r="G988" s="32"/>
      <c r="H988" s="58"/>
      <c r="I988" s="58"/>
      <c r="J988" s="59"/>
      <c r="K988" s="5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A989" s="44"/>
      <c r="B989" s="44"/>
      <c r="C989" s="44"/>
      <c r="D989" s="44"/>
      <c r="E989" s="44"/>
      <c r="F989" s="58"/>
      <c r="G989" s="32"/>
      <c r="H989" s="58"/>
      <c r="I989" s="58"/>
      <c r="J989" s="59"/>
      <c r="K989" s="58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2">
      <c r="A990" s="44"/>
      <c r="B990" s="44"/>
      <c r="C990" s="44"/>
      <c r="D990" s="44"/>
      <c r="E990" s="44"/>
      <c r="F990" s="58"/>
      <c r="G990" s="32"/>
      <c r="H990" s="58"/>
      <c r="I990" s="58"/>
      <c r="J990" s="59"/>
      <c r="K990" s="58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spans="1:24" x14ac:dyDescent="0.2">
      <c r="A991" s="44"/>
      <c r="B991" s="44"/>
      <c r="C991" s="44"/>
      <c r="D991" s="44"/>
      <c r="E991" s="44"/>
      <c r="F991" s="58"/>
      <c r="G991" s="32"/>
      <c r="H991" s="58"/>
      <c r="I991" s="58"/>
      <c r="J991" s="59"/>
      <c r="K991" s="58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A992" s="44"/>
      <c r="B992" s="44"/>
      <c r="C992" s="44"/>
      <c r="D992" s="44"/>
      <c r="E992" s="44"/>
      <c r="F992" s="58"/>
      <c r="G992" s="32"/>
      <c r="H992" s="58"/>
      <c r="I992" s="58"/>
      <c r="J992" s="59"/>
      <c r="K992" s="58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2">
      <c r="A993" s="44"/>
      <c r="B993" s="44"/>
      <c r="C993" s="44"/>
      <c r="D993" s="44"/>
      <c r="E993" s="44"/>
      <c r="F993" s="58"/>
      <c r="G993" s="32"/>
      <c r="H993" s="58"/>
      <c r="I993" s="58"/>
      <c r="J993" s="59"/>
      <c r="K993" s="58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spans="1:24" x14ac:dyDescent="0.2">
      <c r="A994" s="44"/>
      <c r="B994" s="44"/>
      <c r="C994" s="44"/>
      <c r="D994" s="44"/>
      <c r="E994" s="44"/>
      <c r="F994" s="58"/>
      <c r="G994" s="32"/>
      <c r="H994" s="58"/>
      <c r="I994" s="58"/>
      <c r="J994" s="59"/>
      <c r="K994" s="58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A995" s="44"/>
      <c r="B995" s="44"/>
      <c r="C995" s="44"/>
      <c r="D995" s="44"/>
      <c r="E995" s="44"/>
      <c r="F995" s="58"/>
      <c r="G995" s="32"/>
      <c r="H995" s="58"/>
      <c r="I995" s="58"/>
      <c r="J995" s="59"/>
      <c r="K995" s="58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2">
      <c r="A996" s="44"/>
      <c r="B996" s="44"/>
      <c r="C996" s="44"/>
      <c r="D996" s="44"/>
      <c r="E996" s="44"/>
      <c r="F996" s="58"/>
      <c r="G996" s="32"/>
      <c r="H996" s="58"/>
      <c r="I996" s="58"/>
      <c r="J996" s="59"/>
      <c r="K996" s="58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spans="1:24" x14ac:dyDescent="0.2">
      <c r="A997" s="44"/>
      <c r="B997" s="44"/>
      <c r="C997" s="44"/>
      <c r="D997" s="44"/>
      <c r="E997" s="44"/>
      <c r="F997" s="58"/>
      <c r="G997" s="32"/>
      <c r="H997" s="58"/>
      <c r="I997" s="58"/>
      <c r="J997" s="59"/>
      <c r="K997" s="58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A998" s="44"/>
      <c r="B998" s="44"/>
      <c r="C998" s="44"/>
      <c r="D998" s="44"/>
      <c r="E998" s="44"/>
      <c r="F998" s="58"/>
      <c r="G998" s="32"/>
      <c r="H998" s="58"/>
      <c r="I998" s="58"/>
      <c r="J998" s="59"/>
      <c r="K998" s="5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2">
      <c r="A999" s="44"/>
      <c r="B999" s="44"/>
      <c r="C999" s="44"/>
      <c r="D999" s="44"/>
      <c r="E999" s="44"/>
      <c r="F999" s="58"/>
      <c r="G999" s="32"/>
      <c r="H999" s="58"/>
      <c r="I999" s="58"/>
      <c r="J999" s="59"/>
      <c r="K999" s="58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spans="1:24" x14ac:dyDescent="0.2">
      <c r="A1000" s="44"/>
      <c r="B1000" s="44"/>
      <c r="C1000" s="44"/>
      <c r="D1000" s="44"/>
      <c r="E1000" s="44"/>
      <c r="F1000" s="58"/>
      <c r="G1000" s="32"/>
      <c r="H1000" s="58"/>
      <c r="I1000" s="58"/>
      <c r="J1000" s="59"/>
      <c r="K1000" s="58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A1001" s="44"/>
      <c r="B1001" s="44"/>
      <c r="C1001" s="44"/>
      <c r="D1001" s="44"/>
      <c r="E1001" s="44"/>
      <c r="F1001" s="58"/>
      <c r="G1001" s="32"/>
      <c r="H1001" s="58"/>
      <c r="I1001" s="58"/>
      <c r="J1001" s="59"/>
      <c r="K1001" s="58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2">
      <c r="A1002" s="44"/>
      <c r="B1002" s="44"/>
      <c r="C1002" s="44"/>
      <c r="D1002" s="44"/>
      <c r="E1002" s="44"/>
      <c r="F1002" s="58"/>
      <c r="G1002" s="32"/>
      <c r="H1002" s="58"/>
      <c r="I1002" s="58"/>
      <c r="J1002" s="59"/>
      <c r="K1002" s="58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spans="1:24" x14ac:dyDescent="0.2">
      <c r="A1003" s="44"/>
      <c r="B1003" s="44"/>
      <c r="C1003" s="44"/>
      <c r="D1003" s="44"/>
      <c r="E1003" s="44"/>
      <c r="F1003" s="58"/>
      <c r="G1003" s="32"/>
      <c r="H1003" s="58"/>
      <c r="I1003" s="58"/>
      <c r="J1003" s="59"/>
      <c r="K1003" s="58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A1004" s="44"/>
      <c r="B1004" s="44"/>
      <c r="C1004" s="44"/>
      <c r="D1004" s="44"/>
      <c r="E1004" s="44"/>
      <c r="F1004" s="58"/>
      <c r="G1004" s="32"/>
      <c r="H1004" s="58"/>
      <c r="I1004" s="58"/>
      <c r="J1004" s="59"/>
      <c r="K1004" s="58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2">
      <c r="A1005" s="44"/>
      <c r="B1005" s="44"/>
      <c r="C1005" s="44"/>
      <c r="D1005" s="44"/>
      <c r="E1005" s="44"/>
      <c r="F1005" s="58"/>
      <c r="G1005" s="32"/>
      <c r="H1005" s="58"/>
      <c r="I1005" s="58"/>
      <c r="J1005" s="59"/>
      <c r="K1005" s="58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spans="1:24" x14ac:dyDescent="0.2">
      <c r="A1006" s="44"/>
      <c r="B1006" s="44"/>
      <c r="C1006" s="44"/>
      <c r="D1006" s="44"/>
      <c r="E1006" s="44"/>
      <c r="F1006" s="58"/>
      <c r="G1006" s="32"/>
      <c r="H1006" s="58"/>
      <c r="I1006" s="58"/>
      <c r="J1006" s="59"/>
      <c r="K1006" s="58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A1007" s="44"/>
      <c r="B1007" s="44"/>
      <c r="C1007" s="44"/>
      <c r="D1007" s="44"/>
      <c r="E1007" s="44"/>
      <c r="F1007" s="58"/>
      <c r="G1007" s="32"/>
      <c r="H1007" s="58"/>
      <c r="I1007" s="58"/>
      <c r="J1007" s="59"/>
      <c r="K1007" s="58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2">
      <c r="A1008" s="44"/>
      <c r="B1008" s="44"/>
      <c r="C1008" s="44"/>
      <c r="D1008" s="44"/>
      <c r="E1008" s="44"/>
      <c r="F1008" s="58"/>
      <c r="G1008" s="32"/>
      <c r="H1008" s="58"/>
      <c r="I1008" s="58"/>
      <c r="J1008" s="59"/>
      <c r="K1008" s="5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spans="1:24" x14ac:dyDescent="0.2">
      <c r="A1009" s="44"/>
      <c r="B1009" s="44"/>
      <c r="C1009" s="44"/>
      <c r="D1009" s="44"/>
      <c r="E1009" s="44"/>
      <c r="F1009" s="58"/>
      <c r="G1009" s="32"/>
      <c r="H1009" s="58"/>
      <c r="I1009" s="58"/>
      <c r="J1009" s="59"/>
      <c r="K1009" s="58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A1010" s="44"/>
      <c r="B1010" s="44"/>
      <c r="C1010" s="44"/>
      <c r="D1010" s="44"/>
      <c r="E1010" s="44"/>
      <c r="F1010" s="58"/>
      <c r="G1010" s="32"/>
      <c r="H1010" s="58"/>
      <c r="I1010" s="58"/>
      <c r="J1010" s="59"/>
      <c r="K1010" s="58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2">
      <c r="A1011" s="44"/>
      <c r="B1011" s="44"/>
      <c r="C1011" s="44"/>
      <c r="D1011" s="44"/>
      <c r="E1011" s="44"/>
      <c r="F1011" s="58"/>
      <c r="G1011" s="32"/>
      <c r="H1011" s="58"/>
      <c r="I1011" s="58"/>
      <c r="J1011" s="59"/>
      <c r="K1011" s="58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spans="1:24" x14ac:dyDescent="0.2">
      <c r="A1012" s="44"/>
      <c r="B1012" s="44"/>
      <c r="C1012" s="44"/>
      <c r="D1012" s="44"/>
      <c r="E1012" s="44"/>
      <c r="F1012" s="58"/>
      <c r="G1012" s="32"/>
      <c r="H1012" s="58"/>
      <c r="I1012" s="58"/>
      <c r="J1012" s="59"/>
      <c r="K1012" s="58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A1013" s="44"/>
      <c r="B1013" s="44"/>
      <c r="C1013" s="44"/>
      <c r="D1013" s="44"/>
      <c r="E1013" s="44"/>
      <c r="F1013" s="58"/>
      <c r="G1013" s="32"/>
      <c r="H1013" s="58"/>
      <c r="I1013" s="58"/>
      <c r="J1013" s="59"/>
      <c r="K1013" s="58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2">
      <c r="A1014" s="44"/>
      <c r="B1014" s="44"/>
      <c r="C1014" s="44"/>
      <c r="D1014" s="44"/>
      <c r="E1014" s="44"/>
      <c r="F1014" s="58"/>
      <c r="G1014" s="32"/>
      <c r="H1014" s="58"/>
      <c r="I1014" s="58"/>
      <c r="J1014" s="59"/>
      <c r="K1014" s="58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</row>
    <row r="1015" spans="1:24" x14ac:dyDescent="0.2">
      <c r="A1015" s="44"/>
      <c r="B1015" s="44"/>
      <c r="C1015" s="44"/>
      <c r="D1015" s="44"/>
      <c r="E1015" s="44"/>
      <c r="F1015" s="58"/>
      <c r="G1015" s="32"/>
      <c r="H1015" s="58"/>
      <c r="I1015" s="58"/>
      <c r="J1015" s="59"/>
      <c r="K1015" s="58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A1016" s="44"/>
      <c r="B1016" s="44"/>
      <c r="C1016" s="44"/>
      <c r="D1016" s="44"/>
      <c r="E1016" s="44"/>
      <c r="F1016" s="58"/>
      <c r="G1016" s="32"/>
      <c r="H1016" s="58"/>
      <c r="I1016" s="58"/>
      <c r="J1016" s="59"/>
      <c r="K1016" s="58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2">
      <c r="A1017" s="44"/>
      <c r="B1017" s="44"/>
      <c r="C1017" s="44"/>
      <c r="D1017" s="44"/>
      <c r="E1017" s="44"/>
      <c r="F1017" s="58"/>
      <c r="G1017" s="32"/>
      <c r="H1017" s="58"/>
      <c r="I1017" s="58"/>
      <c r="J1017" s="59"/>
      <c r="K1017" s="58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spans="1:24" x14ac:dyDescent="0.2">
      <c r="A1018" s="44"/>
      <c r="B1018" s="44"/>
      <c r="C1018" s="44"/>
      <c r="D1018" s="44"/>
      <c r="E1018" s="44"/>
      <c r="F1018" s="58"/>
      <c r="G1018" s="32"/>
      <c r="H1018" s="58"/>
      <c r="I1018" s="58"/>
      <c r="J1018" s="59"/>
      <c r="K1018" s="5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A1019" s="44"/>
      <c r="B1019" s="44"/>
      <c r="C1019" s="44"/>
      <c r="D1019" s="44"/>
      <c r="E1019" s="44"/>
      <c r="F1019" s="58"/>
      <c r="G1019" s="32"/>
      <c r="H1019" s="58"/>
      <c r="I1019" s="58"/>
      <c r="J1019" s="59"/>
      <c r="K1019" s="58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2">
      <c r="A1020" s="44"/>
      <c r="B1020" s="44"/>
      <c r="C1020" s="44"/>
      <c r="D1020" s="44"/>
      <c r="E1020" s="44"/>
      <c r="F1020" s="58"/>
      <c r="G1020" s="32"/>
      <c r="H1020" s="58"/>
      <c r="I1020" s="58"/>
      <c r="J1020" s="59"/>
      <c r="K1020" s="58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spans="1:24" x14ac:dyDescent="0.2">
      <c r="A1021" s="44"/>
      <c r="B1021" s="44"/>
      <c r="C1021" s="44"/>
      <c r="D1021" s="44"/>
      <c r="E1021" s="44"/>
      <c r="F1021" s="58"/>
      <c r="G1021" s="32"/>
      <c r="H1021" s="58"/>
      <c r="I1021" s="58"/>
      <c r="J1021" s="59"/>
      <c r="K1021" s="58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A1022" s="44"/>
      <c r="B1022" s="44"/>
      <c r="C1022" s="44"/>
      <c r="D1022" s="44"/>
      <c r="E1022" s="44"/>
      <c r="F1022" s="58"/>
      <c r="G1022" s="32"/>
      <c r="H1022" s="58"/>
      <c r="I1022" s="58"/>
      <c r="J1022" s="59"/>
      <c r="K1022" s="58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2">
      <c r="A1023" s="44"/>
      <c r="B1023" s="44"/>
      <c r="C1023" s="44"/>
      <c r="D1023" s="44"/>
      <c r="E1023" s="44"/>
      <c r="F1023" s="58"/>
      <c r="G1023" s="32"/>
      <c r="H1023" s="58"/>
      <c r="I1023" s="58"/>
      <c r="J1023" s="59"/>
      <c r="K1023" s="58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spans="1:24" x14ac:dyDescent="0.2">
      <c r="A1024" s="44"/>
      <c r="B1024" s="44"/>
      <c r="C1024" s="44"/>
      <c r="D1024" s="44"/>
      <c r="E1024" s="44"/>
      <c r="F1024" s="58"/>
      <c r="G1024" s="32"/>
      <c r="H1024" s="58"/>
      <c r="I1024" s="58"/>
      <c r="J1024" s="59"/>
      <c r="K1024" s="58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A1025" s="44"/>
      <c r="B1025" s="44"/>
      <c r="C1025" s="44"/>
      <c r="D1025" s="44"/>
      <c r="E1025" s="44"/>
      <c r="F1025" s="58"/>
      <c r="G1025" s="32"/>
      <c r="H1025" s="58"/>
      <c r="I1025" s="58"/>
      <c r="J1025" s="59"/>
      <c r="K1025" s="58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2">
      <c r="A1026" s="44"/>
      <c r="B1026" s="44"/>
      <c r="C1026" s="44"/>
      <c r="D1026" s="44"/>
      <c r="E1026" s="44"/>
      <c r="F1026" s="58"/>
      <c r="G1026" s="32"/>
      <c r="H1026" s="58"/>
      <c r="I1026" s="58"/>
      <c r="J1026" s="59"/>
      <c r="K1026" s="58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spans="1:24" x14ac:dyDescent="0.2">
      <c r="A1027" s="44"/>
      <c r="B1027" s="44"/>
      <c r="C1027" s="44"/>
      <c r="D1027" s="44"/>
      <c r="E1027" s="44"/>
      <c r="F1027" s="58"/>
      <c r="G1027" s="32"/>
      <c r="H1027" s="58"/>
      <c r="I1027" s="58"/>
      <c r="J1027" s="59"/>
      <c r="K1027" s="58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A1028" s="44"/>
      <c r="B1028" s="44"/>
      <c r="C1028" s="44"/>
      <c r="D1028" s="44"/>
      <c r="E1028" s="44"/>
      <c r="F1028" s="58"/>
      <c r="G1028" s="32"/>
      <c r="H1028" s="58"/>
      <c r="I1028" s="58"/>
      <c r="J1028" s="59"/>
      <c r="K1028" s="5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2">
      <c r="A1029" s="44"/>
      <c r="B1029" s="44"/>
      <c r="C1029" s="44"/>
      <c r="D1029" s="44"/>
      <c r="E1029" s="44"/>
      <c r="F1029" s="58"/>
      <c r="G1029" s="32"/>
      <c r="H1029" s="58"/>
      <c r="I1029" s="58"/>
      <c r="J1029" s="59"/>
      <c r="K1029" s="58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spans="1:24" x14ac:dyDescent="0.2">
      <c r="A1030" s="44"/>
      <c r="B1030" s="44"/>
      <c r="C1030" s="44"/>
      <c r="D1030" s="44"/>
      <c r="E1030" s="44"/>
      <c r="F1030" s="58"/>
      <c r="G1030" s="32"/>
      <c r="H1030" s="58"/>
      <c r="I1030" s="58"/>
      <c r="J1030" s="59"/>
      <c r="K1030" s="58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A1031" s="44"/>
      <c r="B1031" s="44"/>
      <c r="C1031" s="44"/>
      <c r="D1031" s="44"/>
      <c r="E1031" s="44"/>
      <c r="F1031" s="58"/>
      <c r="G1031" s="32"/>
      <c r="H1031" s="58"/>
      <c r="I1031" s="58"/>
      <c r="J1031" s="59"/>
      <c r="K1031" s="58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2">
      <c r="A1032" s="44"/>
      <c r="B1032" s="44"/>
      <c r="C1032" s="44"/>
      <c r="D1032" s="44"/>
      <c r="E1032" s="44"/>
      <c r="F1032" s="58"/>
      <c r="G1032" s="32"/>
      <c r="H1032" s="58"/>
      <c r="I1032" s="58"/>
      <c r="J1032" s="59"/>
      <c r="K1032" s="58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spans="1:24" x14ac:dyDescent="0.2">
      <c r="A1033" s="44"/>
      <c r="B1033" s="44"/>
      <c r="C1033" s="44"/>
      <c r="D1033" s="44"/>
      <c r="E1033" s="44"/>
      <c r="F1033" s="58"/>
      <c r="G1033" s="32"/>
      <c r="H1033" s="58"/>
      <c r="I1033" s="58"/>
      <c r="J1033" s="59"/>
      <c r="K1033" s="58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A1034" s="44"/>
      <c r="B1034" s="44"/>
      <c r="C1034" s="44"/>
      <c r="D1034" s="44"/>
      <c r="E1034" s="44"/>
      <c r="F1034" s="58"/>
      <c r="G1034" s="32"/>
      <c r="H1034" s="58"/>
      <c r="I1034" s="58"/>
      <c r="J1034" s="59"/>
      <c r="K1034" s="58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2">
      <c r="A1035" s="44"/>
      <c r="B1035" s="44"/>
      <c r="C1035" s="44"/>
      <c r="D1035" s="44"/>
      <c r="E1035" s="44"/>
      <c r="F1035" s="58"/>
      <c r="G1035" s="32"/>
      <c r="H1035" s="58"/>
      <c r="I1035" s="58"/>
      <c r="J1035" s="59"/>
      <c r="K1035" s="58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spans="1:24" x14ac:dyDescent="0.2">
      <c r="A1036" s="44"/>
      <c r="B1036" s="44"/>
      <c r="C1036" s="44"/>
      <c r="D1036" s="44"/>
      <c r="E1036" s="44"/>
      <c r="F1036" s="58"/>
      <c r="G1036" s="32"/>
      <c r="H1036" s="58"/>
      <c r="I1036" s="58"/>
      <c r="J1036" s="59"/>
      <c r="K1036" s="58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A1037" s="44"/>
      <c r="B1037" s="44"/>
      <c r="C1037" s="44"/>
      <c r="D1037" s="44"/>
      <c r="E1037" s="44"/>
      <c r="F1037" s="58"/>
      <c r="G1037" s="32"/>
      <c r="H1037" s="58"/>
      <c r="I1037" s="58"/>
      <c r="J1037" s="59"/>
      <c r="K1037" s="58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2">
      <c r="A1038" s="44"/>
      <c r="B1038" s="44"/>
      <c r="C1038" s="44"/>
      <c r="D1038" s="44"/>
      <c r="E1038" s="44"/>
      <c r="F1038" s="58"/>
      <c r="G1038" s="32"/>
      <c r="H1038" s="58"/>
      <c r="I1038" s="58"/>
      <c r="J1038" s="59"/>
      <c r="K1038" s="5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spans="1:24" x14ac:dyDescent="0.2">
      <c r="A1039" s="44"/>
      <c r="B1039" s="44"/>
      <c r="C1039" s="44"/>
      <c r="D1039" s="44"/>
      <c r="E1039" s="44"/>
      <c r="F1039" s="58"/>
      <c r="G1039" s="32"/>
      <c r="H1039" s="58"/>
      <c r="I1039" s="58"/>
      <c r="J1039" s="59"/>
      <c r="K1039" s="58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A1040" s="44"/>
      <c r="B1040" s="44"/>
      <c r="C1040" s="44"/>
      <c r="D1040" s="44"/>
      <c r="E1040" s="44"/>
      <c r="F1040" s="58"/>
      <c r="G1040" s="32"/>
      <c r="H1040" s="58"/>
      <c r="I1040" s="58"/>
      <c r="J1040" s="59"/>
      <c r="K1040" s="58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2">
      <c r="A1041" s="44"/>
      <c r="B1041" s="44"/>
      <c r="C1041" s="44"/>
      <c r="D1041" s="44"/>
      <c r="E1041" s="44"/>
      <c r="F1041" s="58"/>
      <c r="G1041" s="32"/>
      <c r="H1041" s="58"/>
      <c r="I1041" s="58"/>
      <c r="J1041" s="59"/>
      <c r="K1041" s="58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spans="1:24" x14ac:dyDescent="0.2">
      <c r="A1042" s="44"/>
      <c r="B1042" s="44"/>
      <c r="C1042" s="44"/>
      <c r="D1042" s="44"/>
      <c r="E1042" s="44"/>
      <c r="F1042" s="58"/>
      <c r="G1042" s="32"/>
      <c r="H1042" s="58"/>
      <c r="I1042" s="58"/>
      <c r="J1042" s="59"/>
      <c r="K1042" s="58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A1043" s="44"/>
      <c r="B1043" s="44"/>
      <c r="C1043" s="44"/>
      <c r="D1043" s="44"/>
      <c r="E1043" s="44"/>
      <c r="F1043" s="58"/>
      <c r="G1043" s="32"/>
      <c r="H1043" s="58"/>
      <c r="I1043" s="58"/>
      <c r="J1043" s="59"/>
      <c r="K1043" s="58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2">
      <c r="A1044" s="44"/>
      <c r="B1044" s="44"/>
      <c r="C1044" s="44"/>
      <c r="D1044" s="44"/>
      <c r="E1044" s="44"/>
      <c r="F1044" s="58"/>
      <c r="G1044" s="32"/>
      <c r="H1044" s="58"/>
      <c r="I1044" s="58"/>
      <c r="J1044" s="59"/>
      <c r="K1044" s="58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spans="1:24" x14ac:dyDescent="0.2">
      <c r="A1045" s="44"/>
      <c r="B1045" s="44"/>
      <c r="C1045" s="44"/>
      <c r="D1045" s="44"/>
      <c r="E1045" s="44"/>
      <c r="F1045" s="58"/>
      <c r="G1045" s="32"/>
      <c r="H1045" s="58"/>
      <c r="I1045" s="58"/>
      <c r="J1045" s="59"/>
      <c r="K1045" s="58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A1046" s="44"/>
      <c r="B1046" s="44"/>
      <c r="C1046" s="44"/>
      <c r="D1046" s="44"/>
      <c r="E1046" s="44"/>
      <c r="F1046" s="58"/>
      <c r="G1046" s="32"/>
      <c r="H1046" s="58"/>
      <c r="I1046" s="58"/>
      <c r="J1046" s="59"/>
      <c r="K1046" s="58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2">
      <c r="A1047" s="44"/>
      <c r="B1047" s="44"/>
      <c r="C1047" s="44"/>
      <c r="D1047" s="44"/>
      <c r="E1047" s="44"/>
      <c r="F1047" s="58"/>
      <c r="G1047" s="32"/>
      <c r="H1047" s="58"/>
      <c r="I1047" s="58"/>
      <c r="J1047" s="59"/>
      <c r="K1047" s="58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spans="1:24" x14ac:dyDescent="0.2">
      <c r="A1048" s="44"/>
      <c r="B1048" s="44"/>
      <c r="C1048" s="44"/>
      <c r="D1048" s="44"/>
      <c r="E1048" s="44"/>
      <c r="F1048" s="58"/>
      <c r="G1048" s="32"/>
      <c r="H1048" s="58"/>
      <c r="I1048" s="58"/>
      <c r="J1048" s="59"/>
      <c r="K1048" s="5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A1049" s="44"/>
      <c r="B1049" s="44"/>
      <c r="C1049" s="44"/>
      <c r="D1049" s="44"/>
      <c r="E1049" s="44"/>
      <c r="F1049" s="58"/>
      <c r="G1049" s="32"/>
      <c r="H1049" s="58"/>
      <c r="I1049" s="58"/>
      <c r="J1049" s="59"/>
      <c r="K1049" s="58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2">
      <c r="A1050" s="44"/>
      <c r="B1050" s="44"/>
      <c r="C1050" s="44"/>
      <c r="D1050" s="44"/>
      <c r="E1050" s="44"/>
      <c r="F1050" s="58"/>
      <c r="G1050" s="32"/>
      <c r="H1050" s="58"/>
      <c r="I1050" s="58"/>
      <c r="J1050" s="59"/>
      <c r="K1050" s="58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spans="1:24" x14ac:dyDescent="0.2">
      <c r="A1051" s="44"/>
      <c r="B1051" s="44"/>
      <c r="C1051" s="44"/>
      <c r="D1051" s="44"/>
      <c r="E1051" s="44"/>
      <c r="F1051" s="58"/>
      <c r="G1051" s="32"/>
      <c r="H1051" s="58"/>
      <c r="I1051" s="58"/>
      <c r="J1051" s="59"/>
      <c r="K1051" s="58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A1052" s="44"/>
      <c r="B1052" s="44"/>
      <c r="C1052" s="44"/>
      <c r="D1052" s="44"/>
      <c r="E1052" s="44"/>
      <c r="F1052" s="58"/>
      <c r="G1052" s="32"/>
      <c r="H1052" s="58"/>
      <c r="I1052" s="58"/>
      <c r="J1052" s="59"/>
      <c r="K1052" s="58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2">
      <c r="A1053" s="44"/>
      <c r="B1053" s="44"/>
      <c r="C1053" s="44"/>
      <c r="D1053" s="44"/>
      <c r="E1053" s="44"/>
      <c r="F1053" s="58"/>
      <c r="G1053" s="32"/>
      <c r="H1053" s="58"/>
      <c r="I1053" s="58"/>
      <c r="J1053" s="59"/>
      <c r="K1053" s="58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spans="1:24" x14ac:dyDescent="0.2">
      <c r="A1054" s="44"/>
      <c r="B1054" s="44"/>
      <c r="C1054" s="44"/>
      <c r="D1054" s="44"/>
      <c r="E1054" s="44"/>
      <c r="F1054" s="58"/>
      <c r="G1054" s="32"/>
      <c r="H1054" s="58"/>
      <c r="I1054" s="58"/>
      <c r="J1054" s="59"/>
      <c r="K1054" s="58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A1055" s="44"/>
      <c r="B1055" s="44"/>
      <c r="C1055" s="44"/>
      <c r="D1055" s="44"/>
      <c r="E1055" s="44"/>
      <c r="F1055" s="58"/>
      <c r="G1055" s="32"/>
      <c r="H1055" s="58"/>
      <c r="I1055" s="58"/>
      <c r="J1055" s="59"/>
      <c r="K1055" s="58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2">
      <c r="A1056" s="44"/>
      <c r="B1056" s="44"/>
      <c r="C1056" s="44"/>
      <c r="D1056" s="44"/>
      <c r="E1056" s="44"/>
      <c r="F1056" s="58"/>
      <c r="G1056" s="32"/>
      <c r="H1056" s="58"/>
      <c r="I1056" s="58"/>
      <c r="J1056" s="59"/>
      <c r="K1056" s="58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spans="1:24" x14ac:dyDescent="0.2">
      <c r="A1057" s="44"/>
      <c r="B1057" s="44"/>
      <c r="C1057" s="44"/>
      <c r="D1057" s="44"/>
      <c r="E1057" s="44"/>
      <c r="F1057" s="58"/>
      <c r="G1057" s="32"/>
      <c r="H1057" s="58"/>
      <c r="I1057" s="58"/>
      <c r="J1057" s="59"/>
      <c r="K1057" s="58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A1058" s="44"/>
      <c r="B1058" s="44"/>
      <c r="C1058" s="44"/>
      <c r="D1058" s="44"/>
      <c r="E1058" s="44"/>
      <c r="F1058" s="58"/>
      <c r="G1058" s="32"/>
      <c r="H1058" s="58"/>
      <c r="I1058" s="58"/>
      <c r="J1058" s="59"/>
      <c r="K1058" s="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2">
      <c r="A1059" s="44"/>
      <c r="B1059" s="44"/>
      <c r="C1059" s="44"/>
      <c r="D1059" s="44"/>
      <c r="E1059" s="44"/>
      <c r="F1059" s="58"/>
      <c r="G1059" s="32"/>
      <c r="H1059" s="58"/>
      <c r="I1059" s="58"/>
      <c r="J1059" s="59"/>
      <c r="K1059" s="58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spans="1:24" x14ac:dyDescent="0.2">
      <c r="A1060" s="44"/>
      <c r="B1060" s="44"/>
      <c r="C1060" s="44"/>
      <c r="D1060" s="44"/>
      <c r="E1060" s="44"/>
      <c r="F1060" s="58"/>
      <c r="G1060" s="32"/>
      <c r="H1060" s="58"/>
      <c r="I1060" s="58"/>
      <c r="J1060" s="59"/>
      <c r="K1060" s="58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A1061" s="44"/>
      <c r="B1061" s="44"/>
      <c r="C1061" s="44"/>
      <c r="D1061" s="44"/>
      <c r="E1061" s="44"/>
      <c r="F1061" s="58"/>
      <c r="G1061" s="32"/>
      <c r="H1061" s="58"/>
      <c r="I1061" s="58"/>
      <c r="J1061" s="59"/>
      <c r="K1061" s="58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2">
      <c r="A1062" s="44"/>
      <c r="B1062" s="44"/>
      <c r="C1062" s="44"/>
      <c r="D1062" s="44"/>
      <c r="E1062" s="44"/>
      <c r="F1062" s="58"/>
      <c r="G1062" s="32"/>
      <c r="H1062" s="58"/>
      <c r="I1062" s="58"/>
      <c r="J1062" s="59"/>
      <c r="K1062" s="58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spans="1:24" x14ac:dyDescent="0.2">
      <c r="A1063" s="44"/>
      <c r="B1063" s="44"/>
      <c r="C1063" s="44"/>
      <c r="D1063" s="44"/>
      <c r="E1063" s="44"/>
      <c r="F1063" s="58"/>
      <c r="G1063" s="32"/>
      <c r="H1063" s="58"/>
      <c r="I1063" s="58"/>
      <c r="J1063" s="59"/>
      <c r="K1063" s="58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A1064" s="44"/>
      <c r="B1064" s="44"/>
      <c r="C1064" s="44"/>
      <c r="D1064" s="44"/>
      <c r="E1064" s="44"/>
      <c r="F1064" s="58"/>
      <c r="G1064" s="32"/>
      <c r="H1064" s="58"/>
      <c r="I1064" s="58"/>
      <c r="J1064" s="59"/>
      <c r="K1064" s="58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2">
      <c r="A1065" s="44"/>
      <c r="B1065" s="44"/>
      <c r="C1065" s="44"/>
      <c r="D1065" s="44"/>
      <c r="E1065" s="44"/>
      <c r="F1065" s="58"/>
      <c r="G1065" s="32"/>
      <c r="H1065" s="58"/>
      <c r="I1065" s="58"/>
      <c r="J1065" s="59"/>
      <c r="K1065" s="58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spans="1:24" x14ac:dyDescent="0.2">
      <c r="A1066" s="44"/>
      <c r="B1066" s="44"/>
      <c r="C1066" s="44"/>
      <c r="D1066" s="44"/>
      <c r="E1066" s="44"/>
      <c r="F1066" s="58"/>
      <c r="G1066" s="32"/>
      <c r="H1066" s="58"/>
      <c r="I1066" s="58"/>
      <c r="J1066" s="59"/>
      <c r="K1066" s="58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A1067" s="44"/>
      <c r="B1067" s="44"/>
      <c r="C1067" s="44"/>
      <c r="D1067" s="44"/>
      <c r="E1067" s="44"/>
      <c r="F1067" s="58"/>
      <c r="G1067" s="32"/>
      <c r="H1067" s="58"/>
      <c r="I1067" s="58"/>
      <c r="J1067" s="59"/>
      <c r="K1067" s="58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2">
      <c r="A1068" s="44"/>
      <c r="B1068" s="44"/>
      <c r="C1068" s="44"/>
      <c r="D1068" s="44"/>
      <c r="E1068" s="44"/>
      <c r="F1068" s="58"/>
      <c r="G1068" s="32"/>
      <c r="H1068" s="58"/>
      <c r="I1068" s="58"/>
      <c r="J1068" s="59"/>
      <c r="K1068" s="5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spans="1:24" x14ac:dyDescent="0.2">
      <c r="A1069" s="44"/>
      <c r="B1069" s="44"/>
      <c r="C1069" s="44"/>
      <c r="D1069" s="44"/>
      <c r="E1069" s="44"/>
      <c r="F1069" s="58"/>
      <c r="G1069" s="32"/>
      <c r="H1069" s="58"/>
      <c r="I1069" s="58"/>
      <c r="J1069" s="59"/>
      <c r="K1069" s="58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A1070" s="44"/>
      <c r="B1070" s="44"/>
      <c r="C1070" s="44"/>
      <c r="D1070" s="44"/>
      <c r="E1070" s="44"/>
      <c r="F1070" s="58"/>
      <c r="G1070" s="32"/>
      <c r="H1070" s="58"/>
      <c r="I1070" s="58"/>
      <c r="J1070" s="59"/>
      <c r="K1070" s="58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2">
      <c r="A1071" s="44"/>
      <c r="B1071" s="44"/>
      <c r="C1071" s="44"/>
      <c r="D1071" s="44"/>
      <c r="E1071" s="44"/>
      <c r="F1071" s="58"/>
      <c r="G1071" s="32"/>
      <c r="H1071" s="58"/>
      <c r="I1071" s="58"/>
      <c r="J1071" s="59"/>
      <c r="K1071" s="58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spans="1:24" x14ac:dyDescent="0.2">
      <c r="A1072" s="44"/>
      <c r="B1072" s="44"/>
      <c r="C1072" s="44"/>
      <c r="D1072" s="44"/>
      <c r="E1072" s="44"/>
      <c r="F1072" s="58"/>
      <c r="G1072" s="32"/>
      <c r="H1072" s="58"/>
      <c r="I1072" s="58"/>
      <c r="J1072" s="59"/>
      <c r="K1072" s="58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A1073" s="44"/>
      <c r="B1073" s="44"/>
      <c r="C1073" s="44"/>
      <c r="D1073" s="44"/>
      <c r="E1073" s="44"/>
      <c r="F1073" s="58"/>
      <c r="G1073" s="32"/>
      <c r="H1073" s="58"/>
      <c r="I1073" s="58"/>
      <c r="J1073" s="59"/>
      <c r="K1073" s="58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2">
      <c r="A1074" s="44"/>
      <c r="B1074" s="44"/>
      <c r="C1074" s="44"/>
      <c r="D1074" s="44"/>
      <c r="E1074" s="44"/>
      <c r="F1074" s="58"/>
      <c r="G1074" s="32"/>
      <c r="H1074" s="58"/>
      <c r="I1074" s="58"/>
      <c r="J1074" s="59"/>
      <c r="K1074" s="58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spans="1:24" x14ac:dyDescent="0.2">
      <c r="A1075" s="44"/>
      <c r="B1075" s="44"/>
      <c r="C1075" s="44"/>
      <c r="D1075" s="44"/>
      <c r="E1075" s="44"/>
      <c r="F1075" s="58"/>
      <c r="G1075" s="32"/>
      <c r="H1075" s="58"/>
      <c r="I1075" s="58"/>
      <c r="J1075" s="59"/>
      <c r="K1075" s="58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A1076" s="44"/>
      <c r="B1076" s="44"/>
      <c r="C1076" s="44"/>
      <c r="D1076" s="44"/>
      <c r="E1076" s="44"/>
      <c r="F1076" s="58"/>
      <c r="G1076" s="32"/>
      <c r="H1076" s="58"/>
      <c r="I1076" s="58"/>
      <c r="J1076" s="59"/>
      <c r="K1076" s="58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2">
      <c r="A1077" s="44"/>
      <c r="B1077" s="44"/>
      <c r="C1077" s="44"/>
      <c r="D1077" s="44"/>
      <c r="E1077" s="44"/>
      <c r="F1077" s="58"/>
      <c r="G1077" s="32"/>
      <c r="H1077" s="58"/>
      <c r="I1077" s="58"/>
      <c r="J1077" s="59"/>
      <c r="K1077" s="58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spans="1:24" x14ac:dyDescent="0.2">
      <c r="A1078" s="44"/>
      <c r="B1078" s="44"/>
      <c r="C1078" s="44"/>
      <c r="D1078" s="44"/>
      <c r="E1078" s="44"/>
      <c r="F1078" s="58"/>
      <c r="G1078" s="32"/>
      <c r="H1078" s="58"/>
      <c r="I1078" s="58"/>
      <c r="J1078" s="59"/>
      <c r="K1078" s="5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A1079" s="44"/>
      <c r="B1079" s="44"/>
      <c r="C1079" s="44"/>
      <c r="D1079" s="44"/>
      <c r="E1079" s="44"/>
      <c r="F1079" s="58"/>
      <c r="G1079" s="32"/>
      <c r="H1079" s="58"/>
      <c r="I1079" s="58"/>
      <c r="J1079" s="59"/>
      <c r="K1079" s="58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2">
      <c r="A1080" s="44"/>
      <c r="B1080" s="44"/>
      <c r="C1080" s="44"/>
      <c r="D1080" s="44"/>
      <c r="E1080" s="44"/>
      <c r="F1080" s="58"/>
      <c r="G1080" s="32"/>
      <c r="H1080" s="58"/>
      <c r="I1080" s="58"/>
      <c r="J1080" s="59"/>
      <c r="K1080" s="58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spans="1:24" x14ac:dyDescent="0.2">
      <c r="A1081" s="44"/>
      <c r="B1081" s="44"/>
      <c r="C1081" s="44"/>
      <c r="D1081" s="44"/>
      <c r="E1081" s="44"/>
      <c r="F1081" s="58"/>
      <c r="G1081" s="32"/>
      <c r="H1081" s="58"/>
      <c r="I1081" s="58"/>
      <c r="J1081" s="59"/>
      <c r="K1081" s="58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A1082" s="44"/>
      <c r="B1082" s="44"/>
      <c r="C1082" s="44"/>
      <c r="D1082" s="44"/>
      <c r="E1082" s="44"/>
      <c r="F1082" s="58"/>
      <c r="G1082" s="32"/>
      <c r="H1082" s="58"/>
      <c r="I1082" s="58"/>
      <c r="J1082" s="59"/>
      <c r="K1082" s="58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2">
      <c r="A1083" s="44"/>
      <c r="B1083" s="44"/>
      <c r="C1083" s="44"/>
      <c r="D1083" s="44"/>
      <c r="E1083" s="44"/>
      <c r="F1083" s="58"/>
      <c r="G1083" s="32"/>
      <c r="H1083" s="58"/>
      <c r="I1083" s="58"/>
      <c r="J1083" s="59"/>
      <c r="K1083" s="58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spans="1:24" x14ac:dyDescent="0.2">
      <c r="A1084" s="44"/>
      <c r="B1084" s="44"/>
      <c r="C1084" s="44"/>
      <c r="D1084" s="44"/>
      <c r="E1084" s="44"/>
      <c r="F1084" s="58"/>
      <c r="G1084" s="32"/>
      <c r="H1084" s="58"/>
      <c r="I1084" s="58"/>
      <c r="J1084" s="59"/>
      <c r="K1084" s="58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A1085" s="44"/>
      <c r="B1085" s="44"/>
      <c r="C1085" s="44"/>
      <c r="D1085" s="44"/>
      <c r="E1085" s="44"/>
      <c r="F1085" s="58"/>
      <c r="G1085" s="32"/>
      <c r="H1085" s="58"/>
      <c r="I1085" s="58"/>
      <c r="J1085" s="59"/>
      <c r="K1085" s="58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2">
      <c r="A1086" s="44"/>
      <c r="B1086" s="44"/>
      <c r="C1086" s="44"/>
      <c r="D1086" s="44"/>
      <c r="E1086" s="44"/>
      <c r="F1086" s="58"/>
      <c r="G1086" s="32"/>
      <c r="H1086" s="58"/>
      <c r="I1086" s="58"/>
      <c r="J1086" s="59"/>
      <c r="K1086" s="58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spans="1:24" x14ac:dyDescent="0.2">
      <c r="A1087" s="44"/>
      <c r="B1087" s="44"/>
      <c r="C1087" s="44"/>
      <c r="D1087" s="44"/>
      <c r="E1087" s="44"/>
      <c r="F1087" s="58"/>
      <c r="G1087" s="32"/>
      <c r="H1087" s="58"/>
      <c r="I1087" s="58"/>
      <c r="J1087" s="59"/>
      <c r="K1087" s="58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A1088" s="44"/>
      <c r="B1088" s="44"/>
      <c r="C1088" s="44"/>
      <c r="D1088" s="44"/>
      <c r="E1088" s="44"/>
      <c r="F1088" s="58"/>
      <c r="G1088" s="32"/>
      <c r="H1088" s="58"/>
      <c r="I1088" s="58"/>
      <c r="J1088" s="59"/>
      <c r="K1088" s="5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2">
      <c r="A1089" s="44"/>
      <c r="B1089" s="44"/>
      <c r="C1089" s="44"/>
      <c r="D1089" s="44"/>
      <c r="E1089" s="44"/>
      <c r="F1089" s="58"/>
      <c r="G1089" s="32"/>
      <c r="H1089" s="58"/>
      <c r="I1089" s="58"/>
      <c r="J1089" s="59"/>
      <c r="K1089" s="58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spans="1:24" x14ac:dyDescent="0.2">
      <c r="A1090" s="44"/>
      <c r="B1090" s="44"/>
      <c r="C1090" s="44"/>
      <c r="D1090" s="44"/>
      <c r="E1090" s="44"/>
      <c r="F1090" s="58"/>
      <c r="G1090" s="32"/>
      <c r="H1090" s="58"/>
      <c r="I1090" s="58"/>
      <c r="J1090" s="59"/>
      <c r="K1090" s="58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A1091" s="44"/>
      <c r="B1091" s="44"/>
      <c r="C1091" s="44"/>
      <c r="D1091" s="44"/>
      <c r="E1091" s="44"/>
      <c r="F1091" s="58"/>
      <c r="G1091" s="32"/>
      <c r="H1091" s="58"/>
      <c r="I1091" s="58"/>
      <c r="J1091" s="59"/>
      <c r="K1091" s="58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2">
      <c r="A1092" s="44"/>
      <c r="B1092" s="44"/>
      <c r="C1092" s="44"/>
      <c r="D1092" s="44"/>
      <c r="E1092" s="44"/>
      <c r="F1092" s="58"/>
      <c r="G1092" s="32"/>
      <c r="H1092" s="58"/>
      <c r="I1092" s="58"/>
      <c r="J1092" s="59"/>
      <c r="K1092" s="58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spans="1:24" x14ac:dyDescent="0.2">
      <c r="A1093" s="44"/>
      <c r="B1093" s="44"/>
      <c r="C1093" s="44"/>
      <c r="D1093" s="44"/>
      <c r="E1093" s="44"/>
      <c r="F1093" s="58"/>
      <c r="G1093" s="32"/>
      <c r="H1093" s="58"/>
      <c r="I1093" s="58"/>
      <c r="J1093" s="59"/>
      <c r="K1093" s="58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A1094" s="44"/>
      <c r="B1094" s="44"/>
      <c r="C1094" s="44"/>
      <c r="D1094" s="44"/>
      <c r="E1094" s="44"/>
      <c r="F1094" s="58"/>
      <c r="G1094" s="32"/>
      <c r="H1094" s="58"/>
      <c r="I1094" s="58"/>
      <c r="J1094" s="59"/>
      <c r="K1094" s="58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2">
      <c r="A1095" s="44"/>
      <c r="B1095" s="44"/>
      <c r="C1095" s="44"/>
      <c r="D1095" s="44"/>
      <c r="E1095" s="44"/>
      <c r="F1095" s="58"/>
      <c r="G1095" s="32"/>
      <c r="H1095" s="58"/>
      <c r="I1095" s="58"/>
      <c r="J1095" s="59"/>
      <c r="K1095" s="58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spans="1:24" x14ac:dyDescent="0.2">
      <c r="A1096" s="44"/>
      <c r="B1096" s="44"/>
      <c r="C1096" s="44"/>
      <c r="D1096" s="44"/>
      <c r="E1096" s="44"/>
      <c r="F1096" s="58"/>
      <c r="G1096" s="32"/>
      <c r="H1096" s="58"/>
      <c r="I1096" s="58"/>
      <c r="J1096" s="59"/>
      <c r="K1096" s="58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A1097" s="44"/>
      <c r="B1097" s="44"/>
      <c r="C1097" s="44"/>
      <c r="D1097" s="44"/>
      <c r="E1097" s="44"/>
      <c r="F1097" s="58"/>
      <c r="G1097" s="32"/>
      <c r="H1097" s="58"/>
      <c r="I1097" s="58"/>
      <c r="J1097" s="59"/>
      <c r="K1097" s="58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2">
      <c r="A1098" s="44"/>
      <c r="B1098" s="44"/>
      <c r="C1098" s="44"/>
      <c r="D1098" s="44"/>
      <c r="E1098" s="44"/>
      <c r="F1098" s="58"/>
      <c r="G1098" s="32"/>
      <c r="H1098" s="58"/>
      <c r="I1098" s="58"/>
      <c r="J1098" s="59"/>
      <c r="K1098" s="5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spans="1:24" x14ac:dyDescent="0.2">
      <c r="A1099" s="44"/>
      <c r="B1099" s="44"/>
      <c r="C1099" s="44"/>
      <c r="D1099" s="44"/>
      <c r="E1099" s="44"/>
      <c r="F1099" s="58"/>
      <c r="G1099" s="32"/>
      <c r="H1099" s="58"/>
      <c r="I1099" s="58"/>
      <c r="J1099" s="59"/>
      <c r="K1099" s="58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A1100" s="44"/>
      <c r="B1100" s="44"/>
      <c r="C1100" s="44"/>
      <c r="D1100" s="44"/>
      <c r="E1100" s="44"/>
      <c r="F1100" s="58"/>
      <c r="G1100" s="32"/>
      <c r="H1100" s="58"/>
      <c r="I1100" s="58"/>
      <c r="J1100" s="59"/>
      <c r="K1100" s="58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2">
      <c r="A1101" s="44"/>
      <c r="B1101" s="44"/>
      <c r="C1101" s="44"/>
      <c r="D1101" s="44"/>
      <c r="E1101" s="44"/>
      <c r="F1101" s="58"/>
      <c r="G1101" s="32"/>
      <c r="H1101" s="58"/>
      <c r="I1101" s="58"/>
      <c r="J1101" s="59"/>
      <c r="K1101" s="58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spans="1:24" x14ac:dyDescent="0.2">
      <c r="A1102" s="44"/>
      <c r="B1102" s="44"/>
      <c r="C1102" s="44"/>
      <c r="D1102" s="44"/>
      <c r="E1102" s="44"/>
      <c r="F1102" s="58"/>
      <c r="G1102" s="32"/>
      <c r="H1102" s="58"/>
      <c r="I1102" s="58"/>
      <c r="J1102" s="59"/>
      <c r="K1102" s="58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A1103" s="44"/>
      <c r="B1103" s="44"/>
      <c r="C1103" s="44"/>
      <c r="D1103" s="44"/>
      <c r="E1103" s="44"/>
      <c r="F1103" s="58"/>
      <c r="G1103" s="32"/>
      <c r="H1103" s="58"/>
      <c r="I1103" s="58"/>
      <c r="J1103" s="59"/>
      <c r="K1103" s="58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2">
      <c r="A1104" s="44"/>
      <c r="B1104" s="44"/>
      <c r="C1104" s="44"/>
      <c r="D1104" s="44"/>
      <c r="E1104" s="44"/>
      <c r="F1104" s="58"/>
      <c r="G1104" s="32"/>
      <c r="H1104" s="58"/>
      <c r="I1104" s="58"/>
      <c r="J1104" s="59"/>
      <c r="K1104" s="58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spans="1:24" x14ac:dyDescent="0.2">
      <c r="A1105" s="44"/>
      <c r="B1105" s="44"/>
      <c r="C1105" s="44"/>
      <c r="D1105" s="44"/>
      <c r="E1105" s="44"/>
      <c r="F1105" s="58"/>
      <c r="G1105" s="32"/>
      <c r="H1105" s="58"/>
      <c r="I1105" s="58"/>
      <c r="J1105" s="59"/>
      <c r="K1105" s="58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A1106" s="44"/>
      <c r="B1106" s="44"/>
      <c r="C1106" s="44"/>
      <c r="D1106" s="44"/>
      <c r="E1106" s="44"/>
      <c r="F1106" s="58"/>
      <c r="G1106" s="32"/>
      <c r="H1106" s="58"/>
      <c r="I1106" s="58"/>
      <c r="J1106" s="59"/>
      <c r="K1106" s="58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2">
      <c r="A1107" s="44"/>
      <c r="B1107" s="44"/>
      <c r="C1107" s="44"/>
      <c r="D1107" s="44"/>
      <c r="E1107" s="44"/>
      <c r="F1107" s="58"/>
      <c r="G1107" s="32"/>
      <c r="H1107" s="58"/>
      <c r="I1107" s="58"/>
      <c r="J1107" s="59"/>
      <c r="K1107" s="58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spans="1:24" x14ac:dyDescent="0.2">
      <c r="A1108" s="44"/>
      <c r="B1108" s="44"/>
      <c r="C1108" s="44"/>
      <c r="D1108" s="44"/>
      <c r="E1108" s="44"/>
      <c r="F1108" s="58"/>
      <c r="G1108" s="32"/>
      <c r="H1108" s="58"/>
      <c r="I1108" s="58"/>
      <c r="J1108" s="59"/>
      <c r="K1108" s="5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A1109" s="44"/>
      <c r="B1109" s="44"/>
      <c r="C1109" s="44"/>
      <c r="D1109" s="44"/>
      <c r="E1109" s="44"/>
      <c r="F1109" s="58"/>
      <c r="G1109" s="32"/>
      <c r="H1109" s="58"/>
      <c r="I1109" s="58"/>
      <c r="J1109" s="59"/>
      <c r="K1109" s="58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2">
      <c r="A1110" s="44"/>
      <c r="B1110" s="44"/>
      <c r="C1110" s="44"/>
      <c r="D1110" s="44"/>
      <c r="E1110" s="44"/>
      <c r="F1110" s="58"/>
      <c r="G1110" s="32"/>
      <c r="H1110" s="58"/>
      <c r="I1110" s="58"/>
      <c r="J1110" s="59"/>
      <c r="K1110" s="58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spans="1:24" x14ac:dyDescent="0.2">
      <c r="A1111" s="44"/>
      <c r="B1111" s="44"/>
      <c r="C1111" s="44"/>
      <c r="D1111" s="44"/>
      <c r="E1111" s="44"/>
      <c r="F1111" s="58"/>
      <c r="G1111" s="32"/>
      <c r="H1111" s="58"/>
      <c r="I1111" s="58"/>
      <c r="J1111" s="59"/>
      <c r="K1111" s="58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A1112" s="44"/>
      <c r="B1112" s="44"/>
      <c r="C1112" s="44"/>
      <c r="D1112" s="44"/>
      <c r="E1112" s="44"/>
      <c r="F1112" s="58"/>
      <c r="G1112" s="32"/>
      <c r="H1112" s="58"/>
      <c r="I1112" s="58"/>
      <c r="J1112" s="59"/>
      <c r="K1112" s="58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2">
      <c r="A1113" s="44"/>
      <c r="B1113" s="44"/>
      <c r="C1113" s="44"/>
      <c r="D1113" s="44"/>
      <c r="E1113" s="44"/>
      <c r="F1113" s="58"/>
      <c r="G1113" s="32"/>
      <c r="H1113" s="58"/>
      <c r="I1113" s="58"/>
      <c r="J1113" s="59"/>
      <c r="K1113" s="58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spans="1:24" x14ac:dyDescent="0.2">
      <c r="A1114" s="44"/>
      <c r="B1114" s="44"/>
      <c r="C1114" s="44"/>
      <c r="D1114" s="44"/>
      <c r="E1114" s="44"/>
      <c r="F1114" s="58"/>
      <c r="G1114" s="32"/>
      <c r="H1114" s="58"/>
      <c r="I1114" s="58"/>
      <c r="J1114" s="59"/>
      <c r="K1114" s="58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A1115" s="44"/>
      <c r="B1115" s="44"/>
      <c r="C1115" s="44"/>
      <c r="D1115" s="44"/>
      <c r="E1115" s="44"/>
      <c r="F1115" s="58"/>
      <c r="G1115" s="32"/>
      <c r="H1115" s="58"/>
      <c r="I1115" s="58"/>
      <c r="J1115" s="59"/>
      <c r="K1115" s="58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2">
      <c r="A1116" s="44"/>
      <c r="B1116" s="44"/>
      <c r="C1116" s="44"/>
      <c r="D1116" s="44"/>
      <c r="E1116" s="44"/>
      <c r="F1116" s="58"/>
      <c r="G1116" s="32"/>
      <c r="H1116" s="58"/>
      <c r="I1116" s="58"/>
      <c r="J1116" s="59"/>
      <c r="K1116" s="58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spans="1:24" x14ac:dyDescent="0.2">
      <c r="A1117" s="44"/>
      <c r="B1117" s="44"/>
      <c r="C1117" s="44"/>
      <c r="D1117" s="44"/>
      <c r="E1117" s="44"/>
      <c r="F1117" s="58"/>
      <c r="G1117" s="32"/>
      <c r="H1117" s="58"/>
      <c r="I1117" s="58"/>
      <c r="J1117" s="59"/>
      <c r="K1117" s="58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A1118" s="44"/>
      <c r="B1118" s="44"/>
      <c r="C1118" s="44"/>
      <c r="D1118" s="44"/>
      <c r="E1118" s="44"/>
      <c r="F1118" s="58"/>
      <c r="G1118" s="32"/>
      <c r="H1118" s="58"/>
      <c r="I1118" s="58"/>
      <c r="J1118" s="59"/>
      <c r="K1118" s="5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2">
      <c r="A1119" s="44"/>
      <c r="B1119" s="44"/>
      <c r="C1119" s="44"/>
      <c r="D1119" s="44"/>
      <c r="E1119" s="44"/>
      <c r="F1119" s="58"/>
      <c r="G1119" s="32"/>
      <c r="H1119" s="58"/>
      <c r="I1119" s="58"/>
      <c r="J1119" s="59"/>
      <c r="K1119" s="58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spans="1:24" x14ac:dyDescent="0.2">
      <c r="A1120" s="44"/>
      <c r="B1120" s="44"/>
      <c r="C1120" s="44"/>
      <c r="D1120" s="44"/>
      <c r="E1120" s="44"/>
      <c r="F1120" s="58"/>
      <c r="G1120" s="32"/>
      <c r="H1120" s="58"/>
      <c r="I1120" s="58"/>
      <c r="J1120" s="59"/>
      <c r="K1120" s="58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A1121" s="44"/>
      <c r="B1121" s="44"/>
      <c r="C1121" s="44"/>
      <c r="D1121" s="44"/>
      <c r="E1121" s="44"/>
      <c r="F1121" s="58"/>
      <c r="G1121" s="32"/>
      <c r="H1121" s="58"/>
      <c r="I1121" s="58"/>
      <c r="J1121" s="59"/>
      <c r="K1121" s="58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2">
      <c r="A1122" s="44"/>
      <c r="B1122" s="44"/>
      <c r="C1122" s="44"/>
      <c r="D1122" s="44"/>
      <c r="E1122" s="44"/>
      <c r="F1122" s="58"/>
      <c r="G1122" s="32"/>
      <c r="H1122" s="58"/>
      <c r="I1122" s="58"/>
      <c r="J1122" s="59"/>
      <c r="K1122" s="58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spans="1:24" x14ac:dyDescent="0.2">
      <c r="A1123" s="44"/>
      <c r="B1123" s="44"/>
      <c r="C1123" s="44"/>
      <c r="D1123" s="44"/>
      <c r="E1123" s="44"/>
      <c r="F1123" s="58"/>
      <c r="G1123" s="32"/>
      <c r="H1123" s="58"/>
      <c r="I1123" s="58"/>
      <c r="J1123" s="59"/>
      <c r="K1123" s="58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A1124" s="44"/>
      <c r="B1124" s="44"/>
      <c r="C1124" s="44"/>
      <c r="D1124" s="44"/>
      <c r="E1124" s="44"/>
      <c r="F1124" s="58"/>
      <c r="G1124" s="32"/>
      <c r="H1124" s="58"/>
      <c r="I1124" s="58"/>
      <c r="J1124" s="59"/>
      <c r="K1124" s="58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2">
      <c r="A1125" s="44"/>
      <c r="B1125" s="44"/>
      <c r="C1125" s="44"/>
      <c r="D1125" s="44"/>
      <c r="E1125" s="44"/>
      <c r="F1125" s="58"/>
      <c r="G1125" s="32"/>
      <c r="H1125" s="58"/>
      <c r="I1125" s="58"/>
      <c r="J1125" s="59"/>
      <c r="K1125" s="58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spans="1:24" x14ac:dyDescent="0.2">
      <c r="A1126" s="44"/>
      <c r="B1126" s="44"/>
      <c r="C1126" s="44"/>
      <c r="D1126" s="44"/>
      <c r="E1126" s="44"/>
      <c r="F1126" s="58"/>
      <c r="G1126" s="32"/>
      <c r="H1126" s="58"/>
      <c r="I1126" s="58"/>
      <c r="J1126" s="59"/>
      <c r="K1126" s="58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A1127" s="44"/>
      <c r="B1127" s="44"/>
      <c r="C1127" s="44"/>
      <c r="D1127" s="44"/>
      <c r="E1127" s="44"/>
      <c r="F1127" s="58"/>
      <c r="G1127" s="32"/>
      <c r="H1127" s="58"/>
      <c r="I1127" s="58"/>
      <c r="J1127" s="59"/>
      <c r="K1127" s="58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2">
      <c r="A1128" s="44"/>
      <c r="B1128" s="44"/>
      <c r="C1128" s="44"/>
      <c r="D1128" s="44"/>
      <c r="E1128" s="44"/>
      <c r="F1128" s="58"/>
      <c r="G1128" s="32"/>
      <c r="H1128" s="58"/>
      <c r="I1128" s="58"/>
      <c r="J1128" s="59"/>
      <c r="K1128" s="5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spans="1:24" x14ac:dyDescent="0.2">
      <c r="A1129" s="44"/>
      <c r="B1129" s="44"/>
      <c r="C1129" s="44"/>
      <c r="D1129" s="44"/>
      <c r="E1129" s="44"/>
      <c r="F1129" s="58"/>
      <c r="G1129" s="32"/>
      <c r="H1129" s="58"/>
      <c r="I1129" s="58"/>
      <c r="J1129" s="59"/>
      <c r="K1129" s="58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A1130" s="44"/>
      <c r="B1130" s="44"/>
      <c r="C1130" s="44"/>
      <c r="D1130" s="44"/>
      <c r="E1130" s="44"/>
      <c r="F1130" s="58"/>
      <c r="G1130" s="32"/>
      <c r="H1130" s="58"/>
      <c r="I1130" s="58"/>
      <c r="J1130" s="59"/>
      <c r="K1130" s="58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2">
      <c r="A1131" s="44"/>
      <c r="B1131" s="44"/>
      <c r="C1131" s="44"/>
      <c r="D1131" s="44"/>
      <c r="E1131" s="44"/>
      <c r="F1131" s="58"/>
      <c r="G1131" s="32"/>
      <c r="H1131" s="58"/>
      <c r="I1131" s="58"/>
      <c r="J1131" s="59"/>
      <c r="K1131" s="58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spans="1:24" x14ac:dyDescent="0.2">
      <c r="A1132" s="44"/>
      <c r="B1132" s="44"/>
      <c r="C1132" s="44"/>
      <c r="D1132" s="44"/>
      <c r="E1132" s="44"/>
      <c r="F1132" s="58"/>
      <c r="G1132" s="32"/>
      <c r="H1132" s="58"/>
      <c r="I1132" s="58"/>
      <c r="J1132" s="59"/>
      <c r="K1132" s="58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A1133" s="44"/>
      <c r="B1133" s="44"/>
      <c r="C1133" s="44"/>
      <c r="D1133" s="44"/>
      <c r="E1133" s="44"/>
      <c r="F1133" s="58"/>
      <c r="G1133" s="32"/>
      <c r="H1133" s="58"/>
      <c r="I1133" s="58"/>
      <c r="J1133" s="59"/>
      <c r="K1133" s="58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2">
      <c r="A1134" s="44"/>
      <c r="B1134" s="44"/>
      <c r="C1134" s="44"/>
      <c r="D1134" s="44"/>
      <c r="E1134" s="44"/>
      <c r="F1134" s="58"/>
      <c r="G1134" s="32"/>
      <c r="H1134" s="58"/>
      <c r="I1134" s="58"/>
      <c r="J1134" s="59"/>
      <c r="K1134" s="58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spans="1:24" x14ac:dyDescent="0.2">
      <c r="A1135" s="44"/>
      <c r="B1135" s="44"/>
      <c r="C1135" s="44"/>
      <c r="D1135" s="44"/>
      <c r="E1135" s="44"/>
      <c r="F1135" s="58"/>
      <c r="G1135" s="32"/>
      <c r="H1135" s="58"/>
      <c r="I1135" s="58"/>
      <c r="J1135" s="59"/>
      <c r="K1135" s="58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A1136" s="44"/>
      <c r="B1136" s="44"/>
      <c r="C1136" s="44"/>
      <c r="D1136" s="44"/>
      <c r="E1136" s="44"/>
      <c r="F1136" s="58"/>
      <c r="G1136" s="32"/>
      <c r="H1136" s="58"/>
      <c r="I1136" s="58"/>
      <c r="J1136" s="59"/>
      <c r="K1136" s="58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2">
      <c r="A1137" s="44"/>
      <c r="B1137" s="44"/>
      <c r="C1137" s="44"/>
      <c r="D1137" s="44"/>
      <c r="E1137" s="44"/>
      <c r="F1137" s="58"/>
      <c r="G1137" s="32"/>
      <c r="H1137" s="58"/>
      <c r="I1137" s="58"/>
      <c r="J1137" s="59"/>
      <c r="K1137" s="58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spans="1:24" x14ac:dyDescent="0.2">
      <c r="A1138" s="44"/>
      <c r="B1138" s="44"/>
      <c r="C1138" s="44"/>
      <c r="D1138" s="44"/>
      <c r="E1138" s="44"/>
      <c r="F1138" s="58"/>
      <c r="G1138" s="32"/>
      <c r="H1138" s="58"/>
      <c r="I1138" s="58"/>
      <c r="J1138" s="59"/>
      <c r="K1138" s="5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A1139" s="44"/>
      <c r="B1139" s="44"/>
      <c r="C1139" s="44"/>
      <c r="D1139" s="44"/>
      <c r="E1139" s="44"/>
      <c r="F1139" s="58"/>
      <c r="G1139" s="32"/>
      <c r="H1139" s="58"/>
      <c r="I1139" s="58"/>
      <c r="J1139" s="59"/>
      <c r="K1139" s="58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2">
      <c r="A1140" s="44"/>
      <c r="B1140" s="44"/>
      <c r="C1140" s="44"/>
      <c r="D1140" s="44"/>
      <c r="E1140" s="44"/>
      <c r="F1140" s="58"/>
      <c r="G1140" s="32"/>
      <c r="H1140" s="58"/>
      <c r="I1140" s="58"/>
      <c r="J1140" s="59"/>
      <c r="K1140" s="58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spans="1:24" x14ac:dyDescent="0.2">
      <c r="A1141" s="44"/>
      <c r="B1141" s="44"/>
      <c r="C1141" s="44"/>
      <c r="D1141" s="44"/>
      <c r="E1141" s="44"/>
      <c r="F1141" s="58"/>
      <c r="G1141" s="32"/>
      <c r="H1141" s="58"/>
      <c r="I1141" s="58"/>
      <c r="J1141" s="59"/>
      <c r="K1141" s="58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A1142" s="44"/>
      <c r="B1142" s="44"/>
      <c r="C1142" s="44"/>
      <c r="D1142" s="44"/>
      <c r="E1142" s="44"/>
      <c r="F1142" s="58"/>
      <c r="G1142" s="32"/>
      <c r="H1142" s="58"/>
      <c r="I1142" s="58"/>
      <c r="J1142" s="59"/>
      <c r="K1142" s="58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2">
      <c r="A1143" s="44"/>
      <c r="B1143" s="44"/>
      <c r="C1143" s="44"/>
      <c r="D1143" s="44"/>
      <c r="E1143" s="44"/>
      <c r="F1143" s="58"/>
      <c r="G1143" s="32"/>
      <c r="H1143" s="58"/>
      <c r="I1143" s="58"/>
      <c r="J1143" s="59"/>
      <c r="K1143" s="58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spans="1:24" x14ac:dyDescent="0.2">
      <c r="A1144" s="44"/>
      <c r="B1144" s="44"/>
      <c r="C1144" s="44"/>
      <c r="D1144" s="44"/>
      <c r="E1144" s="44"/>
      <c r="F1144" s="58"/>
      <c r="G1144" s="32"/>
      <c r="H1144" s="58"/>
      <c r="I1144" s="58"/>
      <c r="J1144" s="59"/>
      <c r="K1144" s="58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A1145" s="44"/>
      <c r="B1145" s="44"/>
      <c r="C1145" s="44"/>
      <c r="D1145" s="44"/>
      <c r="E1145" s="44"/>
      <c r="F1145" s="58"/>
      <c r="G1145" s="32"/>
      <c r="H1145" s="58"/>
      <c r="I1145" s="58"/>
      <c r="J1145" s="59"/>
      <c r="K1145" s="58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2">
      <c r="A1146" s="44"/>
      <c r="B1146" s="44"/>
      <c r="C1146" s="44"/>
      <c r="D1146" s="44"/>
      <c r="E1146" s="44"/>
      <c r="F1146" s="58"/>
      <c r="G1146" s="32"/>
      <c r="H1146" s="58"/>
      <c r="I1146" s="58"/>
      <c r="J1146" s="59"/>
      <c r="K1146" s="58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spans="1:24" x14ac:dyDescent="0.2">
      <c r="A1147" s="44"/>
      <c r="B1147" s="44"/>
      <c r="C1147" s="44"/>
      <c r="D1147" s="44"/>
      <c r="E1147" s="44"/>
      <c r="F1147" s="58"/>
      <c r="G1147" s="32"/>
      <c r="H1147" s="58"/>
      <c r="I1147" s="58"/>
      <c r="J1147" s="59"/>
      <c r="K1147" s="58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A1148" s="44"/>
      <c r="B1148" s="44"/>
      <c r="C1148" s="44"/>
      <c r="D1148" s="44"/>
      <c r="E1148" s="44"/>
      <c r="F1148" s="58"/>
      <c r="G1148" s="32"/>
      <c r="H1148" s="58"/>
      <c r="I1148" s="58"/>
      <c r="J1148" s="59"/>
      <c r="K1148" s="5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2">
      <c r="A1149" s="44"/>
      <c r="B1149" s="44"/>
      <c r="C1149" s="44"/>
      <c r="D1149" s="44"/>
      <c r="E1149" s="44"/>
      <c r="F1149" s="58"/>
      <c r="G1149" s="32"/>
      <c r="H1149" s="58"/>
      <c r="I1149" s="58"/>
      <c r="J1149" s="59"/>
      <c r="K1149" s="58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spans="1:24" x14ac:dyDescent="0.2">
      <c r="A1150" s="44"/>
      <c r="B1150" s="44"/>
      <c r="C1150" s="44"/>
      <c r="D1150" s="44"/>
      <c r="E1150" s="44"/>
      <c r="F1150" s="58"/>
      <c r="G1150" s="32"/>
      <c r="H1150" s="58"/>
      <c r="I1150" s="58"/>
      <c r="J1150" s="59"/>
      <c r="K1150" s="58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A1151" s="44"/>
      <c r="B1151" s="44"/>
      <c r="C1151" s="44"/>
      <c r="D1151" s="44"/>
      <c r="E1151" s="44"/>
      <c r="F1151" s="58"/>
      <c r="G1151" s="32"/>
      <c r="H1151" s="58"/>
      <c r="I1151" s="58"/>
      <c r="J1151" s="59"/>
      <c r="K1151" s="58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2">
      <c r="A1152" s="44"/>
      <c r="B1152" s="44"/>
      <c r="C1152" s="44"/>
      <c r="D1152" s="44"/>
      <c r="E1152" s="44"/>
      <c r="F1152" s="58"/>
      <c r="G1152" s="32"/>
      <c r="H1152" s="58"/>
      <c r="I1152" s="58"/>
      <c r="J1152" s="59"/>
      <c r="K1152" s="58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spans="1:24" x14ac:dyDescent="0.2">
      <c r="A1153" s="44"/>
      <c r="B1153" s="44"/>
      <c r="C1153" s="44"/>
      <c r="D1153" s="44"/>
      <c r="E1153" s="44"/>
      <c r="F1153" s="58"/>
      <c r="G1153" s="32"/>
      <c r="H1153" s="58"/>
      <c r="I1153" s="58"/>
      <c r="J1153" s="59"/>
      <c r="K1153" s="58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A1154" s="44"/>
      <c r="B1154" s="44"/>
      <c r="C1154" s="44"/>
      <c r="D1154" s="44"/>
      <c r="E1154" s="44"/>
      <c r="F1154" s="58"/>
      <c r="G1154" s="32"/>
      <c r="H1154" s="58"/>
      <c r="I1154" s="58"/>
      <c r="J1154" s="59"/>
      <c r="K1154" s="58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2">
      <c r="A1155" s="44"/>
      <c r="B1155" s="44"/>
      <c r="C1155" s="44"/>
      <c r="D1155" s="44"/>
      <c r="E1155" s="44"/>
      <c r="F1155" s="58"/>
      <c r="G1155" s="32"/>
      <c r="H1155" s="58"/>
      <c r="I1155" s="58"/>
      <c r="J1155" s="59"/>
      <c r="K1155" s="58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spans="1:24" x14ac:dyDescent="0.2">
      <c r="A1156" s="44"/>
      <c r="B1156" s="44"/>
      <c r="C1156" s="44"/>
      <c r="D1156" s="44"/>
      <c r="E1156" s="44"/>
      <c r="F1156" s="58"/>
      <c r="G1156" s="32"/>
      <c r="H1156" s="58"/>
      <c r="I1156" s="58"/>
      <c r="J1156" s="59"/>
      <c r="K1156" s="58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A1157" s="44"/>
      <c r="B1157" s="44"/>
      <c r="C1157" s="44"/>
      <c r="D1157" s="44"/>
      <c r="E1157" s="44"/>
      <c r="F1157" s="58"/>
      <c r="G1157" s="32"/>
      <c r="H1157" s="58"/>
      <c r="I1157" s="58"/>
      <c r="J1157" s="59"/>
      <c r="K1157" s="58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2">
      <c r="A1158" s="44"/>
      <c r="B1158" s="44"/>
      <c r="C1158" s="44"/>
      <c r="D1158" s="44"/>
      <c r="E1158" s="44"/>
      <c r="F1158" s="58"/>
      <c r="G1158" s="32"/>
      <c r="H1158" s="58"/>
      <c r="I1158" s="58"/>
      <c r="J1158" s="59"/>
      <c r="K1158" s="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spans="1:24" x14ac:dyDescent="0.2">
      <c r="A1159" s="44"/>
      <c r="B1159" s="44"/>
      <c r="C1159" s="44"/>
      <c r="D1159" s="44"/>
      <c r="E1159" s="44"/>
      <c r="F1159" s="58"/>
      <c r="G1159" s="32"/>
      <c r="H1159" s="58"/>
      <c r="I1159" s="58"/>
      <c r="J1159" s="59"/>
      <c r="K1159" s="58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A1160" s="44"/>
      <c r="B1160" s="44"/>
      <c r="C1160" s="44"/>
      <c r="D1160" s="44"/>
      <c r="E1160" s="44"/>
      <c r="F1160" s="58"/>
      <c r="G1160" s="32"/>
      <c r="H1160" s="58"/>
      <c r="I1160" s="58"/>
      <c r="J1160" s="59"/>
      <c r="K1160" s="58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2">
      <c r="A1161" s="44"/>
      <c r="B1161" s="44"/>
      <c r="C1161" s="44"/>
      <c r="D1161" s="44"/>
      <c r="E1161" s="44"/>
      <c r="F1161" s="58"/>
      <c r="G1161" s="32"/>
      <c r="H1161" s="58"/>
      <c r="I1161" s="58"/>
      <c r="J1161" s="59"/>
      <c r="K1161" s="58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spans="1:24" x14ac:dyDescent="0.2">
      <c r="A1162" s="44"/>
      <c r="B1162" s="44"/>
      <c r="C1162" s="44"/>
      <c r="D1162" s="44"/>
      <c r="E1162" s="44"/>
      <c r="F1162" s="58"/>
      <c r="G1162" s="32"/>
      <c r="H1162" s="58"/>
      <c r="I1162" s="58"/>
      <c r="J1162" s="59"/>
      <c r="K1162" s="58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A1163" s="44"/>
      <c r="B1163" s="44"/>
      <c r="C1163" s="44"/>
      <c r="D1163" s="44"/>
      <c r="E1163" s="44"/>
      <c r="F1163" s="58"/>
      <c r="G1163" s="32"/>
      <c r="H1163" s="58"/>
      <c r="I1163" s="58"/>
      <c r="J1163" s="59"/>
      <c r="K1163" s="58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2">
      <c r="A1164" s="44"/>
      <c r="B1164" s="44"/>
      <c r="C1164" s="44"/>
      <c r="D1164" s="44"/>
      <c r="E1164" s="44"/>
      <c r="F1164" s="58"/>
      <c r="G1164" s="32"/>
      <c r="H1164" s="58"/>
      <c r="I1164" s="58"/>
      <c r="J1164" s="59"/>
      <c r="K1164" s="58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spans="1:24" x14ac:dyDescent="0.2">
      <c r="A1165" s="44"/>
      <c r="B1165" s="44"/>
      <c r="C1165" s="44"/>
      <c r="D1165" s="44"/>
      <c r="E1165" s="44"/>
      <c r="F1165" s="58"/>
      <c r="G1165" s="32"/>
      <c r="H1165" s="58"/>
      <c r="I1165" s="58"/>
      <c r="J1165" s="59"/>
      <c r="K1165" s="58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A1166" s="44"/>
      <c r="B1166" s="44"/>
      <c r="C1166" s="44"/>
      <c r="D1166" s="44"/>
      <c r="E1166" s="44"/>
      <c r="F1166" s="58"/>
      <c r="G1166" s="32"/>
      <c r="H1166" s="58"/>
      <c r="I1166" s="58"/>
      <c r="J1166" s="59"/>
      <c r="K1166" s="58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2">
      <c r="A1167" s="44"/>
      <c r="B1167" s="44"/>
      <c r="C1167" s="44"/>
      <c r="D1167" s="44"/>
      <c r="E1167" s="44"/>
      <c r="F1167" s="58"/>
      <c r="G1167" s="32"/>
      <c r="H1167" s="58"/>
      <c r="I1167" s="58"/>
      <c r="J1167" s="59"/>
      <c r="K1167" s="58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spans="1:24" x14ac:dyDescent="0.2">
      <c r="A1168" s="44"/>
      <c r="B1168" s="44"/>
      <c r="C1168" s="44"/>
      <c r="D1168" s="44"/>
      <c r="E1168" s="44"/>
      <c r="F1168" s="58"/>
      <c r="G1168" s="32"/>
      <c r="H1168" s="58"/>
      <c r="I1168" s="58"/>
      <c r="J1168" s="59"/>
      <c r="K1168" s="5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A1169" s="44"/>
      <c r="B1169" s="44"/>
      <c r="C1169" s="44"/>
      <c r="D1169" s="44"/>
      <c r="E1169" s="44"/>
      <c r="F1169" s="58"/>
      <c r="G1169" s="32"/>
      <c r="H1169" s="58"/>
      <c r="I1169" s="58"/>
      <c r="J1169" s="59"/>
      <c r="K1169" s="58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2">
      <c r="A1170" s="44"/>
      <c r="B1170" s="44"/>
      <c r="C1170" s="44"/>
      <c r="D1170" s="44"/>
      <c r="E1170" s="44"/>
      <c r="F1170" s="58"/>
      <c r="G1170" s="32"/>
      <c r="H1170" s="58"/>
      <c r="I1170" s="58"/>
      <c r="J1170" s="59"/>
      <c r="K1170" s="58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</row>
    <row r="1171" spans="1:24" x14ac:dyDescent="0.2">
      <c r="A1171" s="44"/>
      <c r="B1171" s="44"/>
      <c r="C1171" s="44"/>
      <c r="D1171" s="44"/>
      <c r="E1171" s="44"/>
      <c r="F1171" s="58"/>
      <c r="G1171" s="32"/>
      <c r="H1171" s="58"/>
      <c r="I1171" s="58"/>
      <c r="J1171" s="59"/>
      <c r="K1171" s="58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A1172" s="44"/>
      <c r="B1172" s="44"/>
      <c r="C1172" s="44"/>
      <c r="D1172" s="44"/>
      <c r="E1172" s="44"/>
      <c r="F1172" s="58"/>
      <c r="G1172" s="32"/>
      <c r="H1172" s="58"/>
      <c r="I1172" s="58"/>
      <c r="J1172" s="59"/>
      <c r="K1172" s="58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2">
      <c r="A1173" s="44"/>
      <c r="B1173" s="44"/>
      <c r="C1173" s="44"/>
      <c r="D1173" s="44"/>
      <c r="E1173" s="44"/>
      <c r="F1173" s="58"/>
      <c r="G1173" s="32"/>
      <c r="H1173" s="58"/>
      <c r="I1173" s="58"/>
      <c r="J1173" s="59"/>
      <c r="K1173" s="58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</row>
    <row r="1174" spans="1:24" x14ac:dyDescent="0.2">
      <c r="A1174" s="44"/>
      <c r="B1174" s="44"/>
      <c r="C1174" s="44"/>
      <c r="D1174" s="44"/>
      <c r="E1174" s="44"/>
      <c r="F1174" s="58"/>
      <c r="G1174" s="32"/>
      <c r="H1174" s="58"/>
      <c r="I1174" s="58"/>
      <c r="J1174" s="59"/>
      <c r="K1174" s="58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A1175" s="44"/>
      <c r="B1175" s="44"/>
      <c r="C1175" s="44"/>
      <c r="D1175" s="44"/>
      <c r="E1175" s="44"/>
      <c r="F1175" s="58"/>
      <c r="G1175" s="32"/>
      <c r="H1175" s="58"/>
      <c r="I1175" s="58"/>
      <c r="J1175" s="59"/>
      <c r="K1175" s="58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2">
      <c r="A1176" s="44"/>
      <c r="B1176" s="44"/>
      <c r="C1176" s="44"/>
      <c r="D1176" s="44"/>
      <c r="E1176" s="44"/>
      <c r="F1176" s="58"/>
      <c r="G1176" s="32"/>
      <c r="H1176" s="58"/>
      <c r="I1176" s="58"/>
      <c r="J1176" s="59"/>
      <c r="K1176" s="58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spans="1:24" x14ac:dyDescent="0.2">
      <c r="A1177" s="44"/>
      <c r="B1177" s="44"/>
      <c r="C1177" s="44"/>
      <c r="D1177" s="44"/>
      <c r="E1177" s="44"/>
      <c r="F1177" s="58"/>
      <c r="G1177" s="32"/>
      <c r="H1177" s="58"/>
      <c r="I1177" s="58"/>
      <c r="J1177" s="59"/>
      <c r="K1177" s="58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A1178" s="44"/>
      <c r="B1178" s="44"/>
      <c r="C1178" s="44"/>
      <c r="D1178" s="44"/>
      <c r="E1178" s="44"/>
      <c r="F1178" s="58"/>
      <c r="G1178" s="32"/>
      <c r="H1178" s="58"/>
      <c r="I1178" s="58"/>
      <c r="J1178" s="59"/>
      <c r="K1178" s="5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2">
      <c r="A1179" s="44"/>
      <c r="B1179" s="44"/>
      <c r="C1179" s="44"/>
      <c r="D1179" s="44"/>
      <c r="E1179" s="44"/>
      <c r="F1179" s="58"/>
      <c r="G1179" s="32"/>
      <c r="H1179" s="58"/>
      <c r="I1179" s="58"/>
      <c r="J1179" s="59"/>
      <c r="K1179" s="58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</row>
    <row r="1180" spans="1:24" x14ac:dyDescent="0.2">
      <c r="A1180" s="44"/>
      <c r="B1180" s="44"/>
      <c r="C1180" s="44"/>
      <c r="D1180" s="44"/>
      <c r="E1180" s="44"/>
      <c r="F1180" s="58"/>
      <c r="G1180" s="32"/>
      <c r="H1180" s="58"/>
      <c r="I1180" s="58"/>
      <c r="J1180" s="59"/>
      <c r="K1180" s="58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A1181" s="44"/>
      <c r="B1181" s="44"/>
      <c r="C1181" s="44"/>
      <c r="D1181" s="44"/>
      <c r="E1181" s="44"/>
      <c r="F1181" s="58"/>
      <c r="G1181" s="32"/>
      <c r="H1181" s="58"/>
      <c r="I1181" s="58"/>
      <c r="J1181" s="59"/>
      <c r="K1181" s="58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2">
      <c r="A1182" s="44"/>
      <c r="B1182" s="44"/>
      <c r="C1182" s="44"/>
      <c r="D1182" s="44"/>
      <c r="E1182" s="44"/>
      <c r="F1182" s="58"/>
      <c r="G1182" s="32"/>
      <c r="H1182" s="58"/>
      <c r="I1182" s="58"/>
      <c r="J1182" s="59"/>
      <c r="K1182" s="58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spans="1:24" x14ac:dyDescent="0.2">
      <c r="A1183" s="44"/>
      <c r="B1183" s="44"/>
      <c r="C1183" s="44"/>
      <c r="D1183" s="44"/>
      <c r="E1183" s="44"/>
      <c r="F1183" s="58"/>
      <c r="G1183" s="32"/>
      <c r="H1183" s="58"/>
      <c r="I1183" s="58"/>
      <c r="J1183" s="59"/>
      <c r="K1183" s="58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A1184" s="44"/>
      <c r="B1184" s="44"/>
      <c r="C1184" s="44"/>
      <c r="D1184" s="44"/>
      <c r="E1184" s="44"/>
      <c r="F1184" s="58"/>
      <c r="G1184" s="32"/>
      <c r="H1184" s="58"/>
      <c r="I1184" s="58"/>
      <c r="J1184" s="59"/>
      <c r="K1184" s="58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166" x14ac:dyDescent="0.2">
      <c r="A1185" s="44"/>
      <c r="B1185" s="44"/>
      <c r="C1185" s="44"/>
      <c r="D1185" s="44"/>
      <c r="E1185" s="44"/>
      <c r="F1185" s="58"/>
      <c r="G1185" s="32"/>
      <c r="H1185" s="58"/>
      <c r="I1185" s="58"/>
      <c r="J1185" s="59"/>
      <c r="K1185" s="58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spans="1:166" x14ac:dyDescent="0.2">
      <c r="A1186" s="44"/>
      <c r="B1186" s="44"/>
      <c r="C1186" s="44"/>
      <c r="D1186" s="44"/>
      <c r="E1186" s="44"/>
      <c r="F1186" s="58"/>
      <c r="G1186" s="32"/>
      <c r="H1186" s="58"/>
      <c r="I1186" s="58"/>
      <c r="J1186" s="59"/>
      <c r="K1186" s="58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166" x14ac:dyDescent="0.2">
      <c r="A1187" s="44"/>
      <c r="B1187" s="44"/>
      <c r="C1187" s="44"/>
      <c r="D1187" s="44"/>
      <c r="E1187" s="44"/>
      <c r="F1187" s="58"/>
      <c r="G1187" s="32"/>
      <c r="H1187" s="58"/>
      <c r="I1187" s="58"/>
      <c r="J1187" s="59"/>
      <c r="K1187" s="58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166" x14ac:dyDescent="0.2">
      <c r="A1188" s="44"/>
      <c r="B1188" s="44"/>
      <c r="C1188" s="44"/>
      <c r="D1188" s="44"/>
      <c r="E1188" s="44"/>
      <c r="F1188" s="58"/>
      <c r="G1188" s="32"/>
      <c r="H1188" s="58"/>
      <c r="I1188" s="58"/>
      <c r="J1188" s="59"/>
      <c r="K1188" s="5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</row>
    <row r="1189" spans="1:166" x14ac:dyDescent="0.2">
      <c r="A1189" s="44"/>
      <c r="B1189" s="44"/>
      <c r="C1189" s="44"/>
      <c r="D1189" s="44"/>
      <c r="E1189" s="44"/>
      <c r="F1189" s="58"/>
      <c r="G1189" s="32"/>
      <c r="H1189" s="58"/>
      <c r="I1189" s="58"/>
      <c r="J1189" s="59"/>
      <c r="K1189" s="58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166" x14ac:dyDescent="0.2">
      <c r="A1190" s="44"/>
      <c r="B1190" s="44"/>
      <c r="C1190" s="44"/>
      <c r="D1190" s="44"/>
      <c r="E1190" s="44"/>
      <c r="F1190" s="58"/>
      <c r="G1190" s="32"/>
      <c r="H1190" s="58"/>
      <c r="I1190" s="58"/>
      <c r="J1190" s="59"/>
      <c r="K1190" s="58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166" x14ac:dyDescent="0.2">
      <c r="A1191" s="44"/>
      <c r="B1191" s="44"/>
      <c r="C1191" s="44"/>
      <c r="D1191" s="44"/>
      <c r="E1191" s="44"/>
      <c r="F1191" s="58"/>
      <c r="G1191" s="32"/>
      <c r="H1191" s="58"/>
      <c r="I1191" s="58"/>
      <c r="J1191" s="59"/>
      <c r="K1191" s="58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spans="1:166" x14ac:dyDescent="0.2">
      <c r="A1192" s="44"/>
      <c r="B1192" s="44"/>
      <c r="C1192" s="44"/>
      <c r="D1192" s="44"/>
      <c r="E1192" s="44"/>
      <c r="F1192" s="58"/>
      <c r="G1192" s="32"/>
      <c r="H1192" s="58"/>
      <c r="I1192" s="58"/>
      <c r="J1192" s="59"/>
      <c r="K1192" s="58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166" x14ac:dyDescent="0.2">
      <c r="A1193" s="44"/>
      <c r="B1193" s="44"/>
      <c r="C1193" s="44"/>
      <c r="D1193" s="44"/>
      <c r="E1193" s="44"/>
      <c r="F1193" s="58"/>
      <c r="G1193" s="32"/>
      <c r="H1193" s="58"/>
      <c r="I1193" s="58"/>
      <c r="J1193" s="59"/>
      <c r="K1193" s="58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166" x14ac:dyDescent="0.2">
      <c r="A1194" s="44"/>
      <c r="B1194" s="44"/>
      <c r="C1194" s="44"/>
      <c r="D1194" s="44"/>
      <c r="E1194" s="44"/>
      <c r="F1194" s="58"/>
      <c r="G1194" s="32"/>
      <c r="H1194" s="58"/>
      <c r="I1194" s="58"/>
      <c r="J1194" s="59"/>
      <c r="K1194" s="58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spans="1:166" x14ac:dyDescent="0.2">
      <c r="A1195" s="44"/>
      <c r="B1195" s="44"/>
      <c r="C1195" s="44"/>
      <c r="D1195" s="44"/>
      <c r="E1195" s="44"/>
      <c r="F1195" s="58"/>
      <c r="G1195" s="32"/>
      <c r="H1195" s="58"/>
      <c r="I1195" s="58"/>
      <c r="J1195" s="59"/>
      <c r="K1195" s="58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166" x14ac:dyDescent="0.2">
      <c r="A1196" s="44"/>
      <c r="B1196" s="44"/>
      <c r="C1196" s="44"/>
      <c r="D1196" s="44"/>
      <c r="E1196" s="44"/>
      <c r="F1196" s="58"/>
      <c r="G1196" s="32"/>
      <c r="H1196" s="58"/>
      <c r="I1196" s="58"/>
      <c r="J1196" s="59"/>
      <c r="K1196" s="58"/>
    </row>
    <row r="1197" spans="1:166" x14ac:dyDescent="0.2">
      <c r="A1197" s="44"/>
      <c r="B1197" s="44"/>
      <c r="C1197" s="44"/>
      <c r="D1197" s="44"/>
      <c r="E1197" s="44"/>
      <c r="F1197" s="58"/>
      <c r="G1197" s="32"/>
      <c r="H1197" s="58"/>
      <c r="I1197" s="58"/>
      <c r="J1197" s="59"/>
      <c r="K1197" s="58"/>
    </row>
    <row r="1198" spans="1:166" s="4" customFormat="1" x14ac:dyDescent="0.2">
      <c r="A1198" s="44"/>
      <c r="B1198" s="44"/>
      <c r="C1198" s="44"/>
      <c r="D1198" s="44"/>
      <c r="E1198" s="44"/>
      <c r="F1198" s="58"/>
      <c r="G1198" s="32"/>
      <c r="H1198" s="58"/>
      <c r="I1198" s="58"/>
      <c r="J1198" s="59"/>
      <c r="K1198" s="5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  <c r="DJ1198"/>
      <c r="DK1198"/>
      <c r="DL1198"/>
      <c r="DM1198"/>
      <c r="DN1198"/>
      <c r="DO1198"/>
      <c r="DP1198"/>
      <c r="DQ1198"/>
      <c r="DR1198"/>
      <c r="DS1198"/>
      <c r="DT1198"/>
      <c r="DU1198"/>
      <c r="DV1198"/>
      <c r="DW1198"/>
      <c r="DX1198"/>
      <c r="DY1198"/>
      <c r="DZ1198"/>
      <c r="EA1198"/>
      <c r="EB1198"/>
      <c r="EC1198"/>
      <c r="ED1198"/>
      <c r="EE1198"/>
      <c r="EF1198"/>
      <c r="EG1198"/>
      <c r="EH1198"/>
      <c r="EI1198"/>
      <c r="EJ1198"/>
      <c r="EK1198"/>
      <c r="EL1198"/>
      <c r="EM1198"/>
      <c r="EN1198"/>
      <c r="EO1198"/>
      <c r="EP1198"/>
      <c r="EQ1198"/>
      <c r="ER1198"/>
      <c r="ES1198"/>
      <c r="ET1198"/>
      <c r="EU1198"/>
      <c r="EV1198"/>
      <c r="EW1198"/>
      <c r="EX1198"/>
      <c r="EY1198"/>
      <c r="EZ1198"/>
      <c r="FA1198"/>
      <c r="FB1198"/>
      <c r="FC1198"/>
      <c r="FD1198"/>
      <c r="FE1198"/>
      <c r="FF1198"/>
      <c r="FG1198"/>
      <c r="FH1198"/>
      <c r="FI1198"/>
      <c r="FJ1198"/>
    </row>
    <row r="1199" spans="1:166" s="4" customFormat="1" x14ac:dyDescent="0.2">
      <c r="A1199" s="44"/>
      <c r="B1199" s="44"/>
      <c r="C1199" s="44"/>
      <c r="D1199" s="44"/>
      <c r="E1199" s="44"/>
      <c r="F1199" s="58"/>
      <c r="G1199" s="32"/>
      <c r="H1199" s="58"/>
      <c r="I1199" s="58"/>
      <c r="J1199" s="59"/>
      <c r="K1199" s="58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  <c r="DJ1199"/>
      <c r="DK1199"/>
      <c r="DL1199"/>
      <c r="DM1199"/>
      <c r="DN1199"/>
      <c r="DO1199"/>
      <c r="DP1199"/>
      <c r="DQ1199"/>
      <c r="DR1199"/>
      <c r="DS1199"/>
      <c r="DT1199"/>
      <c r="DU1199"/>
      <c r="DV1199"/>
      <c r="DW1199"/>
      <c r="DX1199"/>
      <c r="DY1199"/>
      <c r="DZ1199"/>
      <c r="EA1199"/>
      <c r="EB1199"/>
      <c r="EC1199"/>
      <c r="ED1199"/>
      <c r="EE1199"/>
      <c r="EF1199"/>
      <c r="EG1199"/>
      <c r="EH1199"/>
      <c r="EI1199"/>
      <c r="EJ1199"/>
      <c r="EK1199"/>
      <c r="EL1199"/>
      <c r="EM1199"/>
      <c r="EN1199"/>
      <c r="EO1199"/>
      <c r="EP1199"/>
      <c r="EQ1199"/>
      <c r="ER1199"/>
      <c r="ES1199"/>
      <c r="ET1199"/>
      <c r="EU1199"/>
      <c r="EV1199"/>
      <c r="EW1199"/>
      <c r="EX1199"/>
      <c r="EY1199"/>
      <c r="EZ1199"/>
      <c r="FA1199"/>
      <c r="FB1199"/>
      <c r="FC1199"/>
      <c r="FD1199"/>
      <c r="FE1199"/>
      <c r="FF1199"/>
      <c r="FG1199"/>
      <c r="FH1199"/>
      <c r="FI1199"/>
      <c r="FJ1199"/>
    </row>
    <row r="1200" spans="1:166" s="4" customFormat="1" x14ac:dyDescent="0.2">
      <c r="A1200" s="44"/>
      <c r="B1200" s="44"/>
      <c r="C1200" s="44"/>
      <c r="D1200" s="44"/>
      <c r="E1200" s="44"/>
      <c r="F1200" s="58"/>
      <c r="G1200" s="32"/>
      <c r="H1200" s="58"/>
      <c r="I1200" s="58"/>
      <c r="J1200" s="59"/>
      <c r="K1200" s="58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  <c r="DJ1200"/>
      <c r="DK1200"/>
      <c r="DL1200"/>
      <c r="DM1200"/>
      <c r="DN1200"/>
      <c r="DO1200"/>
      <c r="DP1200"/>
      <c r="DQ1200"/>
      <c r="DR1200"/>
      <c r="DS1200"/>
      <c r="DT1200"/>
      <c r="DU1200"/>
      <c r="DV1200"/>
      <c r="DW1200"/>
      <c r="DX1200"/>
      <c r="DY1200"/>
      <c r="DZ1200"/>
      <c r="EA1200"/>
      <c r="EB1200"/>
      <c r="EC1200"/>
      <c r="ED1200"/>
      <c r="EE1200"/>
      <c r="EF1200"/>
      <c r="EG1200"/>
      <c r="EH1200"/>
      <c r="EI1200"/>
      <c r="EJ1200"/>
      <c r="EK1200"/>
      <c r="EL1200"/>
      <c r="EM1200"/>
      <c r="EN1200"/>
      <c r="EO1200"/>
      <c r="EP1200"/>
      <c r="EQ1200"/>
      <c r="ER1200"/>
      <c r="ES1200"/>
      <c r="ET1200"/>
      <c r="EU1200"/>
      <c r="EV1200"/>
      <c r="EW1200"/>
      <c r="EX1200"/>
      <c r="EY1200"/>
      <c r="EZ1200"/>
      <c r="FA1200"/>
      <c r="FB1200"/>
      <c r="FC1200"/>
      <c r="FD1200"/>
      <c r="FE1200"/>
      <c r="FF1200"/>
      <c r="FG1200"/>
      <c r="FH1200"/>
      <c r="FI1200"/>
      <c r="FJ1200"/>
    </row>
    <row r="1201" spans="1:166" s="4" customFormat="1" x14ac:dyDescent="0.2">
      <c r="A1201" s="44"/>
      <c r="B1201" s="44"/>
      <c r="C1201" s="44"/>
      <c r="D1201" s="44"/>
      <c r="E1201" s="44"/>
      <c r="F1201" s="58"/>
      <c r="G1201" s="32"/>
      <c r="H1201" s="58"/>
      <c r="I1201" s="58"/>
      <c r="J1201" s="59"/>
      <c r="K1201" s="58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  <c r="DJ1201"/>
      <c r="DK1201"/>
      <c r="DL1201"/>
      <c r="DM1201"/>
      <c r="DN1201"/>
      <c r="DO1201"/>
      <c r="DP1201"/>
      <c r="DQ1201"/>
      <c r="DR1201"/>
      <c r="DS1201"/>
      <c r="DT1201"/>
      <c r="DU1201"/>
      <c r="DV1201"/>
      <c r="DW1201"/>
      <c r="DX1201"/>
      <c r="DY1201"/>
      <c r="DZ1201"/>
      <c r="EA1201"/>
      <c r="EB1201"/>
      <c r="EC1201"/>
      <c r="ED1201"/>
      <c r="EE1201"/>
      <c r="EF1201"/>
      <c r="EG1201"/>
      <c r="EH1201"/>
      <c r="EI1201"/>
      <c r="EJ1201"/>
      <c r="EK1201"/>
      <c r="EL1201"/>
      <c r="EM1201"/>
      <c r="EN1201"/>
      <c r="EO1201"/>
      <c r="EP1201"/>
      <c r="EQ1201"/>
      <c r="ER1201"/>
      <c r="ES1201"/>
      <c r="ET1201"/>
      <c r="EU1201"/>
      <c r="EV1201"/>
      <c r="EW1201"/>
      <c r="EX1201"/>
      <c r="EY1201"/>
      <c r="EZ1201"/>
      <c r="FA1201"/>
      <c r="FB1201"/>
      <c r="FC1201"/>
      <c r="FD1201"/>
      <c r="FE1201"/>
      <c r="FF1201"/>
      <c r="FG1201"/>
      <c r="FH1201"/>
      <c r="FI1201"/>
      <c r="FJ1201"/>
    </row>
    <row r="1202" spans="1:166" s="4" customFormat="1" x14ac:dyDescent="0.2">
      <c r="A1202" s="44"/>
      <c r="B1202" s="44"/>
      <c r="C1202" s="44"/>
      <c r="D1202" s="44"/>
      <c r="E1202" s="44"/>
      <c r="F1202" s="58"/>
      <c r="G1202" s="32"/>
      <c r="H1202" s="58"/>
      <c r="I1202" s="58"/>
      <c r="J1202" s="59"/>
      <c r="K1202" s="58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  <c r="DJ1202"/>
      <c r="DK1202"/>
      <c r="DL1202"/>
      <c r="DM1202"/>
      <c r="DN1202"/>
      <c r="DO1202"/>
      <c r="DP1202"/>
      <c r="DQ1202"/>
      <c r="DR1202"/>
      <c r="DS1202"/>
      <c r="DT1202"/>
      <c r="DU1202"/>
      <c r="DV1202"/>
      <c r="DW1202"/>
      <c r="DX1202"/>
      <c r="DY1202"/>
      <c r="DZ1202"/>
      <c r="EA1202"/>
      <c r="EB1202"/>
      <c r="EC1202"/>
      <c r="ED1202"/>
      <c r="EE1202"/>
      <c r="EF1202"/>
      <c r="EG1202"/>
      <c r="EH1202"/>
      <c r="EI1202"/>
      <c r="EJ1202"/>
      <c r="EK1202"/>
      <c r="EL1202"/>
      <c r="EM1202"/>
      <c r="EN1202"/>
      <c r="EO1202"/>
      <c r="EP1202"/>
      <c r="EQ1202"/>
      <c r="ER1202"/>
      <c r="ES1202"/>
      <c r="ET1202"/>
      <c r="EU1202"/>
      <c r="EV1202"/>
      <c r="EW1202"/>
      <c r="EX1202"/>
      <c r="EY1202"/>
      <c r="EZ1202"/>
      <c r="FA1202"/>
      <c r="FB1202"/>
      <c r="FC1202"/>
      <c r="FD1202"/>
      <c r="FE1202"/>
      <c r="FF1202"/>
      <c r="FG1202"/>
      <c r="FH1202"/>
      <c r="FI1202"/>
      <c r="FJ1202"/>
    </row>
    <row r="1203" spans="1:166" s="4" customFormat="1" x14ac:dyDescent="0.2">
      <c r="A1203" s="44"/>
      <c r="B1203" s="44"/>
      <c r="C1203" s="44"/>
      <c r="D1203" s="44"/>
      <c r="E1203" s="44"/>
      <c r="F1203" s="58"/>
      <c r="G1203" s="32"/>
      <c r="H1203" s="58"/>
      <c r="I1203" s="58"/>
      <c r="J1203" s="59"/>
      <c r="K1203" s="58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  <c r="DJ1203"/>
      <c r="DK1203"/>
      <c r="DL1203"/>
      <c r="DM1203"/>
      <c r="DN1203"/>
      <c r="DO1203"/>
      <c r="DP1203"/>
      <c r="DQ1203"/>
      <c r="DR1203"/>
      <c r="DS1203"/>
      <c r="DT1203"/>
      <c r="DU1203"/>
      <c r="DV1203"/>
      <c r="DW1203"/>
      <c r="DX1203"/>
      <c r="DY1203"/>
      <c r="DZ1203"/>
      <c r="EA1203"/>
      <c r="EB1203"/>
      <c r="EC1203"/>
      <c r="ED1203"/>
      <c r="EE1203"/>
      <c r="EF1203"/>
      <c r="EG1203"/>
      <c r="EH1203"/>
      <c r="EI1203"/>
      <c r="EJ1203"/>
      <c r="EK1203"/>
      <c r="EL1203"/>
      <c r="EM1203"/>
      <c r="EN1203"/>
      <c r="EO1203"/>
      <c r="EP1203"/>
      <c r="EQ1203"/>
      <c r="ER1203"/>
      <c r="ES1203"/>
      <c r="ET1203"/>
      <c r="EU1203"/>
      <c r="EV1203"/>
      <c r="EW1203"/>
      <c r="EX1203"/>
      <c r="EY1203"/>
      <c r="EZ1203"/>
      <c r="FA1203"/>
      <c r="FB1203"/>
      <c r="FC1203"/>
      <c r="FD1203"/>
      <c r="FE1203"/>
      <c r="FF1203"/>
      <c r="FG1203"/>
      <c r="FH1203"/>
      <c r="FI1203"/>
      <c r="FJ1203"/>
    </row>
    <row r="1204" spans="1:166" s="4" customFormat="1" x14ac:dyDescent="0.2">
      <c r="A1204" s="44"/>
      <c r="B1204" s="44"/>
      <c r="C1204" s="44"/>
      <c r="D1204" s="44"/>
      <c r="E1204" s="44"/>
      <c r="F1204" s="58"/>
      <c r="G1204" s="32"/>
      <c r="H1204" s="58"/>
      <c r="I1204" s="58"/>
      <c r="J1204" s="59"/>
      <c r="K1204" s="58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  <c r="DJ1204"/>
      <c r="DK1204"/>
      <c r="DL1204"/>
      <c r="DM1204"/>
      <c r="DN1204"/>
      <c r="DO1204"/>
      <c r="DP1204"/>
      <c r="DQ1204"/>
      <c r="DR1204"/>
      <c r="DS1204"/>
      <c r="DT1204"/>
      <c r="DU1204"/>
      <c r="DV1204"/>
      <c r="DW1204"/>
      <c r="DX1204"/>
      <c r="DY1204"/>
      <c r="DZ1204"/>
      <c r="EA1204"/>
      <c r="EB1204"/>
      <c r="EC1204"/>
      <c r="ED1204"/>
      <c r="EE1204"/>
      <c r="EF1204"/>
      <c r="EG1204"/>
      <c r="EH1204"/>
      <c r="EI1204"/>
      <c r="EJ1204"/>
      <c r="EK1204"/>
      <c r="EL1204"/>
      <c r="EM1204"/>
      <c r="EN1204"/>
      <c r="EO1204"/>
      <c r="EP1204"/>
      <c r="EQ1204"/>
      <c r="ER1204"/>
      <c r="ES1204"/>
      <c r="ET1204"/>
      <c r="EU1204"/>
      <c r="EV1204"/>
      <c r="EW1204"/>
      <c r="EX1204"/>
      <c r="EY1204"/>
      <c r="EZ1204"/>
      <c r="FA1204"/>
      <c r="FB1204"/>
      <c r="FC1204"/>
      <c r="FD1204"/>
      <c r="FE1204"/>
      <c r="FF1204"/>
      <c r="FG1204"/>
      <c r="FH1204"/>
      <c r="FI1204"/>
      <c r="FJ1204"/>
    </row>
    <row r="1205" spans="1:166" s="4" customFormat="1" x14ac:dyDescent="0.2">
      <c r="A1205" s="44"/>
      <c r="B1205" s="44"/>
      <c r="C1205" s="44"/>
      <c r="D1205" s="44"/>
      <c r="E1205" s="44"/>
      <c r="F1205" s="58"/>
      <c r="G1205" s="32"/>
      <c r="H1205" s="58"/>
      <c r="I1205" s="58"/>
      <c r="J1205" s="59"/>
      <c r="K1205" s="58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  <c r="DJ1205"/>
      <c r="DK1205"/>
      <c r="DL1205"/>
      <c r="DM1205"/>
      <c r="DN1205"/>
      <c r="DO1205"/>
      <c r="DP1205"/>
      <c r="DQ1205"/>
      <c r="DR1205"/>
      <c r="DS1205"/>
      <c r="DT1205"/>
      <c r="DU1205"/>
      <c r="DV1205"/>
      <c r="DW1205"/>
      <c r="DX1205"/>
      <c r="DY1205"/>
      <c r="DZ1205"/>
      <c r="EA1205"/>
      <c r="EB1205"/>
      <c r="EC1205"/>
      <c r="ED1205"/>
      <c r="EE1205"/>
      <c r="EF1205"/>
      <c r="EG1205"/>
      <c r="EH1205"/>
      <c r="EI1205"/>
      <c r="EJ1205"/>
      <c r="EK1205"/>
      <c r="EL1205"/>
      <c r="EM1205"/>
      <c r="EN1205"/>
      <c r="EO1205"/>
      <c r="EP1205"/>
      <c r="EQ1205"/>
      <c r="ER1205"/>
      <c r="ES1205"/>
      <c r="ET1205"/>
      <c r="EU1205"/>
      <c r="EV1205"/>
      <c r="EW1205"/>
      <c r="EX1205"/>
      <c r="EY1205"/>
      <c r="EZ1205"/>
      <c r="FA1205"/>
      <c r="FB1205"/>
      <c r="FC1205"/>
      <c r="FD1205"/>
      <c r="FE1205"/>
      <c r="FF1205"/>
      <c r="FG1205"/>
      <c r="FH1205"/>
      <c r="FI1205"/>
      <c r="FJ1205"/>
    </row>
    <row r="1206" spans="1:166" s="4" customFormat="1" x14ac:dyDescent="0.2">
      <c r="A1206" s="44"/>
      <c r="B1206" s="44"/>
      <c r="C1206" s="44"/>
      <c r="D1206" s="44"/>
      <c r="E1206" s="44"/>
      <c r="F1206" s="58"/>
      <c r="G1206" s="32"/>
      <c r="H1206" s="58"/>
      <c r="I1206" s="58"/>
      <c r="J1206" s="59"/>
      <c r="K1206" s="58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  <c r="DJ1206"/>
      <c r="DK1206"/>
      <c r="DL1206"/>
      <c r="DM1206"/>
      <c r="DN1206"/>
      <c r="DO1206"/>
      <c r="DP1206"/>
      <c r="DQ1206"/>
      <c r="DR1206"/>
      <c r="DS1206"/>
      <c r="DT1206"/>
      <c r="DU1206"/>
      <c r="DV1206"/>
      <c r="DW1206"/>
      <c r="DX1206"/>
      <c r="DY1206"/>
      <c r="DZ1206"/>
      <c r="EA1206"/>
      <c r="EB1206"/>
      <c r="EC1206"/>
      <c r="ED1206"/>
      <c r="EE1206"/>
      <c r="EF1206"/>
      <c r="EG1206"/>
      <c r="EH1206"/>
      <c r="EI1206"/>
      <c r="EJ1206"/>
      <c r="EK1206"/>
      <c r="EL1206"/>
      <c r="EM1206"/>
      <c r="EN1206"/>
      <c r="EO1206"/>
      <c r="EP1206"/>
      <c r="EQ1206"/>
      <c r="ER1206"/>
      <c r="ES1206"/>
      <c r="ET1206"/>
      <c r="EU1206"/>
      <c r="EV1206"/>
      <c r="EW1206"/>
      <c r="EX1206"/>
      <c r="EY1206"/>
      <c r="EZ1206"/>
      <c r="FA1206"/>
      <c r="FB1206"/>
      <c r="FC1206"/>
      <c r="FD1206"/>
      <c r="FE1206"/>
      <c r="FF1206"/>
      <c r="FG1206"/>
      <c r="FH1206"/>
      <c r="FI1206"/>
      <c r="FJ1206"/>
    </row>
    <row r="1207" spans="1:166" s="4" customFormat="1" x14ac:dyDescent="0.2">
      <c r="A1207" s="44"/>
      <c r="B1207" s="44"/>
      <c r="C1207" s="44"/>
      <c r="D1207" s="44"/>
      <c r="E1207" s="44"/>
      <c r="F1207" s="58"/>
      <c r="G1207" s="32"/>
      <c r="H1207" s="58"/>
      <c r="I1207" s="58"/>
      <c r="J1207" s="59"/>
      <c r="K1207" s="58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  <c r="DJ1207"/>
      <c r="DK1207"/>
      <c r="DL1207"/>
      <c r="DM1207"/>
      <c r="DN1207"/>
      <c r="DO1207"/>
      <c r="DP1207"/>
      <c r="DQ1207"/>
      <c r="DR1207"/>
      <c r="DS1207"/>
      <c r="DT1207"/>
      <c r="DU1207"/>
      <c r="DV1207"/>
      <c r="DW1207"/>
      <c r="DX1207"/>
      <c r="DY1207"/>
      <c r="DZ1207"/>
      <c r="EA1207"/>
      <c r="EB1207"/>
      <c r="EC1207"/>
      <c r="ED1207"/>
      <c r="EE1207"/>
      <c r="EF1207"/>
      <c r="EG1207"/>
      <c r="EH1207"/>
      <c r="EI1207"/>
      <c r="EJ1207"/>
      <c r="EK1207"/>
      <c r="EL1207"/>
      <c r="EM1207"/>
      <c r="EN1207"/>
      <c r="EO1207"/>
      <c r="EP1207"/>
      <c r="EQ1207"/>
      <c r="ER1207"/>
      <c r="ES1207"/>
      <c r="ET1207"/>
      <c r="EU1207"/>
      <c r="EV1207"/>
      <c r="EW1207"/>
      <c r="EX1207"/>
      <c r="EY1207"/>
      <c r="EZ1207"/>
      <c r="FA1207"/>
      <c r="FB1207"/>
      <c r="FC1207"/>
      <c r="FD1207"/>
      <c r="FE1207"/>
      <c r="FF1207"/>
      <c r="FG1207"/>
      <c r="FH1207"/>
      <c r="FI1207"/>
      <c r="FJ1207"/>
    </row>
    <row r="1208" spans="1:166" s="4" customFormat="1" x14ac:dyDescent="0.2">
      <c r="A1208" s="44"/>
      <c r="B1208" s="44"/>
      <c r="C1208" s="44"/>
      <c r="D1208" s="44"/>
      <c r="E1208" s="44"/>
      <c r="F1208" s="58"/>
      <c r="G1208" s="32"/>
      <c r="H1208" s="58"/>
      <c r="I1208" s="58"/>
      <c r="J1208" s="59"/>
      <c r="K1208" s="5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  <c r="DJ1208"/>
      <c r="DK1208"/>
      <c r="DL1208"/>
      <c r="DM1208"/>
      <c r="DN1208"/>
      <c r="DO1208"/>
      <c r="DP1208"/>
      <c r="DQ1208"/>
      <c r="DR1208"/>
      <c r="DS1208"/>
      <c r="DT1208"/>
      <c r="DU1208"/>
      <c r="DV1208"/>
      <c r="DW1208"/>
      <c r="DX1208"/>
      <c r="DY1208"/>
      <c r="DZ1208"/>
      <c r="EA1208"/>
      <c r="EB1208"/>
      <c r="EC1208"/>
      <c r="ED1208"/>
      <c r="EE1208"/>
      <c r="EF1208"/>
      <c r="EG1208"/>
      <c r="EH1208"/>
      <c r="EI1208"/>
      <c r="EJ1208"/>
      <c r="EK1208"/>
      <c r="EL1208"/>
      <c r="EM1208"/>
      <c r="EN1208"/>
      <c r="EO1208"/>
      <c r="EP1208"/>
      <c r="EQ1208"/>
      <c r="ER1208"/>
      <c r="ES1208"/>
      <c r="ET1208"/>
      <c r="EU1208"/>
      <c r="EV1208"/>
      <c r="EW1208"/>
      <c r="EX1208"/>
      <c r="EY1208"/>
      <c r="EZ1208"/>
      <c r="FA1208"/>
      <c r="FB1208"/>
      <c r="FC1208"/>
      <c r="FD1208"/>
      <c r="FE1208"/>
      <c r="FF1208"/>
      <c r="FG1208"/>
      <c r="FH1208"/>
      <c r="FI1208"/>
      <c r="FJ1208"/>
    </row>
    <row r="1209" spans="1:166" s="4" customFormat="1" x14ac:dyDescent="0.2">
      <c r="A1209" s="44"/>
      <c r="B1209" s="44"/>
      <c r="C1209" s="44"/>
      <c r="D1209" s="44"/>
      <c r="E1209" s="44"/>
      <c r="F1209" s="58"/>
      <c r="G1209" s="32"/>
      <c r="H1209" s="58"/>
      <c r="I1209" s="58"/>
      <c r="J1209" s="59"/>
      <c r="K1209" s="58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  <c r="DJ1209"/>
      <c r="DK1209"/>
      <c r="DL1209"/>
      <c r="DM1209"/>
      <c r="DN1209"/>
      <c r="DO1209"/>
      <c r="DP1209"/>
      <c r="DQ1209"/>
      <c r="DR1209"/>
      <c r="DS1209"/>
      <c r="DT1209"/>
      <c r="DU1209"/>
      <c r="DV1209"/>
      <c r="DW1209"/>
      <c r="DX1209"/>
      <c r="DY1209"/>
      <c r="DZ1209"/>
      <c r="EA1209"/>
      <c r="EB1209"/>
      <c r="EC1209"/>
      <c r="ED1209"/>
      <c r="EE1209"/>
      <c r="EF1209"/>
      <c r="EG1209"/>
      <c r="EH1209"/>
      <c r="EI1209"/>
      <c r="EJ1209"/>
      <c r="EK1209"/>
      <c r="EL1209"/>
      <c r="EM1209"/>
      <c r="EN1209"/>
      <c r="EO1209"/>
      <c r="EP1209"/>
      <c r="EQ1209"/>
      <c r="ER1209"/>
      <c r="ES1209"/>
      <c r="ET1209"/>
      <c r="EU1209"/>
      <c r="EV1209"/>
      <c r="EW1209"/>
      <c r="EX1209"/>
      <c r="EY1209"/>
      <c r="EZ1209"/>
      <c r="FA1209"/>
      <c r="FB1209"/>
      <c r="FC1209"/>
      <c r="FD1209"/>
      <c r="FE1209"/>
      <c r="FF1209"/>
      <c r="FG1209"/>
      <c r="FH1209"/>
      <c r="FI1209"/>
      <c r="FJ1209"/>
    </row>
    <row r="1210" spans="1:166" s="4" customFormat="1" x14ac:dyDescent="0.2">
      <c r="A1210" s="44"/>
      <c r="B1210" s="44"/>
      <c r="C1210" s="44"/>
      <c r="D1210" s="44"/>
      <c r="E1210" s="44"/>
      <c r="F1210" s="58"/>
      <c r="G1210" s="32"/>
      <c r="H1210" s="58"/>
      <c r="I1210" s="58"/>
      <c r="J1210" s="59"/>
      <c r="K1210" s="58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  <c r="DJ1210"/>
      <c r="DK1210"/>
      <c r="DL1210"/>
      <c r="DM1210"/>
      <c r="DN1210"/>
      <c r="DO1210"/>
      <c r="DP1210"/>
      <c r="DQ1210"/>
      <c r="DR1210"/>
      <c r="DS1210"/>
      <c r="DT1210"/>
      <c r="DU1210"/>
      <c r="DV1210"/>
      <c r="DW1210"/>
      <c r="DX1210"/>
      <c r="DY1210"/>
      <c r="DZ1210"/>
      <c r="EA1210"/>
      <c r="EB1210"/>
      <c r="EC1210"/>
      <c r="ED1210"/>
      <c r="EE1210"/>
      <c r="EF1210"/>
      <c r="EG1210"/>
      <c r="EH1210"/>
      <c r="EI1210"/>
      <c r="EJ1210"/>
      <c r="EK1210"/>
      <c r="EL1210"/>
      <c r="EM1210"/>
      <c r="EN1210"/>
      <c r="EO1210"/>
      <c r="EP1210"/>
      <c r="EQ1210"/>
      <c r="ER1210"/>
      <c r="ES1210"/>
      <c r="ET1210"/>
      <c r="EU1210"/>
      <c r="EV1210"/>
      <c r="EW1210"/>
      <c r="EX1210"/>
      <c r="EY1210"/>
      <c r="EZ1210"/>
      <c r="FA1210"/>
      <c r="FB1210"/>
      <c r="FC1210"/>
      <c r="FD1210"/>
      <c r="FE1210"/>
      <c r="FF1210"/>
      <c r="FG1210"/>
      <c r="FH1210"/>
      <c r="FI1210"/>
      <c r="FJ1210"/>
    </row>
    <row r="1211" spans="1:166" s="4" customFormat="1" x14ac:dyDescent="0.2">
      <c r="A1211" s="44"/>
      <c r="B1211" s="44"/>
      <c r="C1211" s="44"/>
      <c r="D1211" s="44"/>
      <c r="E1211" s="44"/>
      <c r="F1211" s="58"/>
      <c r="G1211" s="32"/>
      <c r="H1211" s="58"/>
      <c r="I1211" s="58"/>
      <c r="J1211" s="59"/>
      <c r="K1211" s="58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  <c r="DJ1211"/>
      <c r="DK1211"/>
      <c r="DL1211"/>
      <c r="DM1211"/>
      <c r="DN1211"/>
      <c r="DO1211"/>
      <c r="DP1211"/>
      <c r="DQ1211"/>
      <c r="DR1211"/>
      <c r="DS1211"/>
      <c r="DT1211"/>
      <c r="DU1211"/>
      <c r="DV1211"/>
      <c r="DW1211"/>
      <c r="DX1211"/>
      <c r="DY1211"/>
      <c r="DZ1211"/>
      <c r="EA1211"/>
      <c r="EB1211"/>
      <c r="EC1211"/>
      <c r="ED1211"/>
      <c r="EE1211"/>
      <c r="EF1211"/>
      <c r="EG1211"/>
      <c r="EH1211"/>
      <c r="EI1211"/>
      <c r="EJ1211"/>
      <c r="EK1211"/>
      <c r="EL1211"/>
      <c r="EM1211"/>
      <c r="EN1211"/>
      <c r="EO1211"/>
      <c r="EP1211"/>
      <c r="EQ1211"/>
      <c r="ER1211"/>
      <c r="ES1211"/>
      <c r="ET1211"/>
      <c r="EU1211"/>
      <c r="EV1211"/>
      <c r="EW1211"/>
      <c r="EX1211"/>
      <c r="EY1211"/>
      <c r="EZ1211"/>
      <c r="FA1211"/>
      <c r="FB1211"/>
      <c r="FC1211"/>
      <c r="FD1211"/>
      <c r="FE1211"/>
      <c r="FF1211"/>
      <c r="FG1211"/>
      <c r="FH1211"/>
      <c r="FI1211"/>
      <c r="FJ1211"/>
    </row>
    <row r="1212" spans="1:166" s="4" customFormat="1" x14ac:dyDescent="0.2">
      <c r="A1212" s="44"/>
      <c r="B1212" s="44"/>
      <c r="C1212" s="44"/>
      <c r="D1212" s="44"/>
      <c r="E1212" s="44"/>
      <c r="F1212" s="58"/>
      <c r="G1212" s="32"/>
      <c r="H1212" s="58"/>
      <c r="I1212" s="58"/>
      <c r="J1212" s="59"/>
      <c r="K1212" s="58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  <c r="DJ1212"/>
      <c r="DK1212"/>
      <c r="DL1212"/>
      <c r="DM1212"/>
      <c r="DN1212"/>
      <c r="DO1212"/>
      <c r="DP1212"/>
      <c r="DQ1212"/>
      <c r="DR1212"/>
      <c r="DS1212"/>
      <c r="DT1212"/>
      <c r="DU1212"/>
      <c r="DV1212"/>
      <c r="DW1212"/>
      <c r="DX1212"/>
      <c r="DY1212"/>
      <c r="DZ1212"/>
      <c r="EA1212"/>
      <c r="EB1212"/>
      <c r="EC1212"/>
      <c r="ED1212"/>
      <c r="EE1212"/>
      <c r="EF1212"/>
      <c r="EG1212"/>
      <c r="EH1212"/>
      <c r="EI1212"/>
      <c r="EJ1212"/>
      <c r="EK1212"/>
      <c r="EL1212"/>
      <c r="EM1212"/>
      <c r="EN1212"/>
      <c r="EO1212"/>
      <c r="EP1212"/>
      <c r="EQ1212"/>
      <c r="ER1212"/>
      <c r="ES1212"/>
      <c r="ET1212"/>
      <c r="EU1212"/>
      <c r="EV1212"/>
      <c r="EW1212"/>
      <c r="EX1212"/>
      <c r="EY1212"/>
      <c r="EZ1212"/>
      <c r="FA1212"/>
      <c r="FB1212"/>
      <c r="FC1212"/>
      <c r="FD1212"/>
      <c r="FE1212"/>
      <c r="FF1212"/>
      <c r="FG1212"/>
      <c r="FH1212"/>
      <c r="FI1212"/>
      <c r="FJ1212"/>
    </row>
    <row r="1213" spans="1:166" s="4" customFormat="1" x14ac:dyDescent="0.2">
      <c r="A1213" s="44"/>
      <c r="B1213" s="44"/>
      <c r="C1213" s="44"/>
      <c r="D1213" s="44"/>
      <c r="E1213" s="44"/>
      <c r="F1213" s="58"/>
      <c r="G1213" s="32"/>
      <c r="H1213" s="58"/>
      <c r="I1213" s="58"/>
      <c r="J1213" s="59"/>
      <c r="K1213" s="58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  <c r="DJ1213"/>
      <c r="DK1213"/>
      <c r="DL1213"/>
      <c r="DM1213"/>
      <c r="DN1213"/>
      <c r="DO1213"/>
      <c r="DP1213"/>
      <c r="DQ1213"/>
      <c r="DR1213"/>
      <c r="DS1213"/>
      <c r="DT1213"/>
      <c r="DU1213"/>
      <c r="DV1213"/>
      <c r="DW1213"/>
      <c r="DX1213"/>
      <c r="DY1213"/>
      <c r="DZ1213"/>
      <c r="EA1213"/>
      <c r="EB1213"/>
      <c r="EC1213"/>
      <c r="ED1213"/>
      <c r="EE1213"/>
      <c r="EF1213"/>
      <c r="EG1213"/>
      <c r="EH1213"/>
      <c r="EI1213"/>
      <c r="EJ1213"/>
      <c r="EK1213"/>
      <c r="EL1213"/>
      <c r="EM1213"/>
      <c r="EN1213"/>
      <c r="EO1213"/>
      <c r="EP1213"/>
      <c r="EQ1213"/>
      <c r="ER1213"/>
      <c r="ES1213"/>
      <c r="ET1213"/>
      <c r="EU1213"/>
      <c r="EV1213"/>
      <c r="EW1213"/>
      <c r="EX1213"/>
      <c r="EY1213"/>
      <c r="EZ1213"/>
      <c r="FA1213"/>
      <c r="FB1213"/>
      <c r="FC1213"/>
      <c r="FD1213"/>
      <c r="FE1213"/>
      <c r="FF1213"/>
      <c r="FG1213"/>
      <c r="FH1213"/>
      <c r="FI1213"/>
      <c r="FJ1213"/>
    </row>
    <row r="1214" spans="1:166" s="4" customFormat="1" x14ac:dyDescent="0.2">
      <c r="A1214" s="44"/>
      <c r="B1214" s="44"/>
      <c r="C1214" s="44"/>
      <c r="D1214" s="44"/>
      <c r="E1214" s="44"/>
      <c r="F1214" s="58"/>
      <c r="G1214" s="32"/>
      <c r="H1214" s="58"/>
      <c r="I1214" s="58"/>
      <c r="J1214" s="59"/>
      <c r="K1214" s="58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  <c r="DJ1214"/>
      <c r="DK1214"/>
      <c r="DL1214"/>
      <c r="DM1214"/>
      <c r="DN1214"/>
      <c r="DO1214"/>
      <c r="DP1214"/>
      <c r="DQ1214"/>
      <c r="DR1214"/>
      <c r="DS1214"/>
      <c r="DT1214"/>
      <c r="DU1214"/>
      <c r="DV1214"/>
      <c r="DW1214"/>
      <c r="DX1214"/>
      <c r="DY1214"/>
      <c r="DZ1214"/>
      <c r="EA1214"/>
      <c r="EB1214"/>
      <c r="EC1214"/>
      <c r="ED1214"/>
      <c r="EE1214"/>
      <c r="EF1214"/>
      <c r="EG1214"/>
      <c r="EH1214"/>
      <c r="EI1214"/>
      <c r="EJ1214"/>
      <c r="EK1214"/>
      <c r="EL1214"/>
      <c r="EM1214"/>
      <c r="EN1214"/>
      <c r="EO1214"/>
      <c r="EP1214"/>
      <c r="EQ1214"/>
      <c r="ER1214"/>
      <c r="ES1214"/>
      <c r="ET1214"/>
      <c r="EU1214"/>
      <c r="EV1214"/>
      <c r="EW1214"/>
      <c r="EX1214"/>
      <c r="EY1214"/>
      <c r="EZ1214"/>
      <c r="FA1214"/>
      <c r="FB1214"/>
      <c r="FC1214"/>
      <c r="FD1214"/>
      <c r="FE1214"/>
      <c r="FF1214"/>
      <c r="FG1214"/>
      <c r="FH1214"/>
      <c r="FI1214"/>
      <c r="FJ1214"/>
    </row>
    <row r="1215" spans="1:166" s="4" customFormat="1" x14ac:dyDescent="0.2">
      <c r="A1215" s="44"/>
      <c r="B1215" s="44"/>
      <c r="C1215" s="44"/>
      <c r="D1215" s="44"/>
      <c r="E1215" s="44"/>
      <c r="F1215" s="58"/>
      <c r="G1215" s="32"/>
      <c r="H1215" s="58"/>
      <c r="I1215" s="58"/>
      <c r="J1215" s="59"/>
      <c r="K1215" s="58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  <c r="DJ1215"/>
      <c r="DK1215"/>
      <c r="DL1215"/>
      <c r="DM1215"/>
      <c r="DN1215"/>
      <c r="DO1215"/>
      <c r="DP1215"/>
      <c r="DQ1215"/>
      <c r="DR1215"/>
      <c r="DS1215"/>
      <c r="DT1215"/>
      <c r="DU1215"/>
      <c r="DV1215"/>
      <c r="DW1215"/>
      <c r="DX1215"/>
      <c r="DY1215"/>
      <c r="DZ1215"/>
      <c r="EA1215"/>
      <c r="EB1215"/>
      <c r="EC1215"/>
      <c r="ED1215"/>
      <c r="EE1215"/>
      <c r="EF1215"/>
      <c r="EG1215"/>
      <c r="EH1215"/>
      <c r="EI1215"/>
      <c r="EJ1215"/>
      <c r="EK1215"/>
      <c r="EL1215"/>
      <c r="EM1215"/>
      <c r="EN1215"/>
      <c r="EO1215"/>
      <c r="EP1215"/>
      <c r="EQ1215"/>
      <c r="ER1215"/>
      <c r="ES1215"/>
      <c r="ET1215"/>
      <c r="EU1215"/>
      <c r="EV1215"/>
      <c r="EW1215"/>
      <c r="EX1215"/>
      <c r="EY1215"/>
      <c r="EZ1215"/>
      <c r="FA1215"/>
      <c r="FB1215"/>
      <c r="FC1215"/>
      <c r="FD1215"/>
      <c r="FE1215"/>
      <c r="FF1215"/>
      <c r="FG1215"/>
      <c r="FH1215"/>
      <c r="FI1215"/>
      <c r="FJ1215"/>
    </row>
    <row r="1216" spans="1:166" s="4" customFormat="1" x14ac:dyDescent="0.2">
      <c r="A1216" s="44"/>
      <c r="B1216" s="44"/>
      <c r="C1216" s="44"/>
      <c r="D1216" s="44"/>
      <c r="E1216" s="44"/>
      <c r="F1216" s="58"/>
      <c r="G1216" s="32"/>
      <c r="H1216" s="58"/>
      <c r="I1216" s="58"/>
      <c r="J1216" s="59"/>
      <c r="K1216" s="58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  <c r="DJ1216"/>
      <c r="DK1216"/>
      <c r="DL1216"/>
      <c r="DM1216"/>
      <c r="DN1216"/>
      <c r="DO1216"/>
      <c r="DP1216"/>
      <c r="DQ1216"/>
      <c r="DR1216"/>
      <c r="DS1216"/>
      <c r="DT1216"/>
      <c r="DU1216"/>
      <c r="DV1216"/>
      <c r="DW1216"/>
      <c r="DX1216"/>
      <c r="DY1216"/>
      <c r="DZ1216"/>
      <c r="EA1216"/>
      <c r="EB1216"/>
      <c r="EC1216"/>
      <c r="ED1216"/>
      <c r="EE1216"/>
      <c r="EF1216"/>
      <c r="EG1216"/>
      <c r="EH1216"/>
      <c r="EI1216"/>
      <c r="EJ1216"/>
      <c r="EK1216"/>
      <c r="EL1216"/>
      <c r="EM1216"/>
      <c r="EN1216"/>
      <c r="EO1216"/>
      <c r="EP1216"/>
      <c r="EQ1216"/>
      <c r="ER1216"/>
      <c r="ES1216"/>
      <c r="ET1216"/>
      <c r="EU1216"/>
      <c r="EV1216"/>
      <c r="EW1216"/>
      <c r="EX1216"/>
      <c r="EY1216"/>
      <c r="EZ1216"/>
      <c r="FA1216"/>
      <c r="FB1216"/>
      <c r="FC1216"/>
      <c r="FD1216"/>
      <c r="FE1216"/>
      <c r="FF1216"/>
      <c r="FG1216"/>
      <c r="FH1216"/>
      <c r="FI1216"/>
      <c r="FJ1216"/>
    </row>
    <row r="1217" spans="1:166" s="4" customFormat="1" x14ac:dyDescent="0.2">
      <c r="A1217" s="44"/>
      <c r="B1217" s="44"/>
      <c r="C1217" s="44"/>
      <c r="D1217" s="44"/>
      <c r="E1217" s="44"/>
      <c r="F1217" s="58"/>
      <c r="G1217" s="32"/>
      <c r="H1217" s="58"/>
      <c r="I1217" s="58"/>
      <c r="J1217" s="59"/>
      <c r="K1217" s="58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  <c r="DJ1217"/>
      <c r="DK1217"/>
      <c r="DL1217"/>
      <c r="DM1217"/>
      <c r="DN1217"/>
      <c r="DO1217"/>
      <c r="DP1217"/>
      <c r="DQ1217"/>
      <c r="DR1217"/>
      <c r="DS1217"/>
      <c r="DT1217"/>
      <c r="DU1217"/>
      <c r="DV1217"/>
      <c r="DW1217"/>
      <c r="DX1217"/>
      <c r="DY1217"/>
      <c r="DZ1217"/>
      <c r="EA1217"/>
      <c r="EB1217"/>
      <c r="EC1217"/>
      <c r="ED1217"/>
      <c r="EE1217"/>
      <c r="EF1217"/>
      <c r="EG1217"/>
      <c r="EH1217"/>
      <c r="EI1217"/>
      <c r="EJ1217"/>
      <c r="EK1217"/>
      <c r="EL1217"/>
      <c r="EM1217"/>
      <c r="EN1217"/>
      <c r="EO1217"/>
      <c r="EP1217"/>
      <c r="EQ1217"/>
      <c r="ER1217"/>
      <c r="ES1217"/>
      <c r="ET1217"/>
      <c r="EU1217"/>
      <c r="EV1217"/>
      <c r="EW1217"/>
      <c r="EX1217"/>
      <c r="EY1217"/>
      <c r="EZ1217"/>
      <c r="FA1217"/>
      <c r="FB1217"/>
      <c r="FC1217"/>
      <c r="FD1217"/>
      <c r="FE1217"/>
      <c r="FF1217"/>
      <c r="FG1217"/>
      <c r="FH1217"/>
      <c r="FI1217"/>
      <c r="FJ1217"/>
    </row>
    <row r="1218" spans="1:166" s="4" customFormat="1" x14ac:dyDescent="0.2">
      <c r="A1218" s="44"/>
      <c r="B1218" s="44"/>
      <c r="C1218" s="44"/>
      <c r="D1218" s="44"/>
      <c r="E1218" s="44"/>
      <c r="F1218" s="58"/>
      <c r="G1218" s="32"/>
      <c r="H1218" s="58"/>
      <c r="I1218" s="58"/>
      <c r="J1218" s="59"/>
      <c r="K1218" s="5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  <c r="DJ1218"/>
      <c r="DK1218"/>
      <c r="DL1218"/>
      <c r="DM1218"/>
      <c r="DN1218"/>
      <c r="DO1218"/>
      <c r="DP1218"/>
      <c r="DQ1218"/>
      <c r="DR1218"/>
      <c r="DS1218"/>
      <c r="DT1218"/>
      <c r="DU1218"/>
      <c r="DV1218"/>
      <c r="DW1218"/>
      <c r="DX1218"/>
      <c r="DY1218"/>
      <c r="DZ1218"/>
      <c r="EA1218"/>
      <c r="EB1218"/>
      <c r="EC1218"/>
      <c r="ED1218"/>
      <c r="EE1218"/>
      <c r="EF1218"/>
      <c r="EG1218"/>
      <c r="EH1218"/>
      <c r="EI1218"/>
      <c r="EJ1218"/>
      <c r="EK1218"/>
      <c r="EL1218"/>
      <c r="EM1218"/>
      <c r="EN1218"/>
      <c r="EO1218"/>
      <c r="EP1218"/>
      <c r="EQ1218"/>
      <c r="ER1218"/>
      <c r="ES1218"/>
      <c r="ET1218"/>
      <c r="EU1218"/>
      <c r="EV1218"/>
      <c r="EW1218"/>
      <c r="EX1218"/>
      <c r="EY1218"/>
      <c r="EZ1218"/>
      <c r="FA1218"/>
      <c r="FB1218"/>
      <c r="FC1218"/>
      <c r="FD1218"/>
      <c r="FE1218"/>
      <c r="FF1218"/>
      <c r="FG1218"/>
      <c r="FH1218"/>
      <c r="FI1218"/>
      <c r="FJ1218"/>
    </row>
    <row r="1219" spans="1:166" s="4" customFormat="1" x14ac:dyDescent="0.2">
      <c r="A1219" s="44"/>
      <c r="B1219" s="44"/>
      <c r="C1219" s="44"/>
      <c r="D1219" s="44"/>
      <c r="E1219" s="44"/>
      <c r="F1219" s="58"/>
      <c r="G1219" s="32"/>
      <c r="H1219" s="58"/>
      <c r="I1219" s="58"/>
      <c r="J1219" s="59"/>
      <c r="K1219" s="58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  <c r="DJ1219"/>
      <c r="DK1219"/>
      <c r="DL1219"/>
      <c r="DM1219"/>
      <c r="DN1219"/>
      <c r="DO1219"/>
      <c r="DP1219"/>
      <c r="DQ1219"/>
      <c r="DR1219"/>
      <c r="DS1219"/>
      <c r="DT1219"/>
      <c r="DU1219"/>
      <c r="DV1219"/>
      <c r="DW1219"/>
      <c r="DX1219"/>
      <c r="DY1219"/>
      <c r="DZ1219"/>
      <c r="EA1219"/>
      <c r="EB1219"/>
      <c r="EC1219"/>
      <c r="ED1219"/>
      <c r="EE1219"/>
      <c r="EF1219"/>
      <c r="EG1219"/>
      <c r="EH1219"/>
      <c r="EI1219"/>
      <c r="EJ1219"/>
      <c r="EK1219"/>
      <c r="EL1219"/>
      <c r="EM1219"/>
      <c r="EN1219"/>
      <c r="EO1219"/>
      <c r="EP1219"/>
      <c r="EQ1219"/>
      <c r="ER1219"/>
      <c r="ES1219"/>
      <c r="ET1219"/>
      <c r="EU1219"/>
      <c r="EV1219"/>
      <c r="EW1219"/>
      <c r="EX1219"/>
      <c r="EY1219"/>
      <c r="EZ1219"/>
      <c r="FA1219"/>
      <c r="FB1219"/>
      <c r="FC1219"/>
      <c r="FD1219"/>
      <c r="FE1219"/>
      <c r="FF1219"/>
      <c r="FG1219"/>
      <c r="FH1219"/>
      <c r="FI1219"/>
      <c r="FJ1219"/>
    </row>
    <row r="1220" spans="1:166" s="4" customFormat="1" x14ac:dyDescent="0.2">
      <c r="A1220" s="44"/>
      <c r="B1220" s="44"/>
      <c r="C1220" s="44"/>
      <c r="D1220" s="44"/>
      <c r="E1220" s="44"/>
      <c r="F1220" s="58"/>
      <c r="G1220" s="32"/>
      <c r="H1220" s="58"/>
      <c r="I1220" s="58"/>
      <c r="J1220" s="59"/>
      <c r="K1220" s="58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  <c r="DJ1220"/>
      <c r="DK1220"/>
      <c r="DL1220"/>
      <c r="DM1220"/>
      <c r="DN1220"/>
      <c r="DO1220"/>
      <c r="DP1220"/>
      <c r="DQ1220"/>
      <c r="DR1220"/>
      <c r="DS1220"/>
      <c r="DT1220"/>
      <c r="DU1220"/>
      <c r="DV1220"/>
      <c r="DW1220"/>
      <c r="DX1220"/>
      <c r="DY1220"/>
      <c r="DZ1220"/>
      <c r="EA1220"/>
      <c r="EB1220"/>
      <c r="EC1220"/>
      <c r="ED1220"/>
      <c r="EE1220"/>
      <c r="EF1220"/>
      <c r="EG1220"/>
      <c r="EH1220"/>
      <c r="EI1220"/>
      <c r="EJ1220"/>
      <c r="EK1220"/>
      <c r="EL1220"/>
      <c r="EM1220"/>
      <c r="EN1220"/>
      <c r="EO1220"/>
      <c r="EP1220"/>
      <c r="EQ1220"/>
      <c r="ER1220"/>
      <c r="ES1220"/>
      <c r="ET1220"/>
      <c r="EU1220"/>
      <c r="EV1220"/>
      <c r="EW1220"/>
      <c r="EX1220"/>
      <c r="EY1220"/>
      <c r="EZ1220"/>
      <c r="FA1220"/>
      <c r="FB1220"/>
      <c r="FC1220"/>
      <c r="FD1220"/>
      <c r="FE1220"/>
      <c r="FF1220"/>
      <c r="FG1220"/>
      <c r="FH1220"/>
      <c r="FI1220"/>
      <c r="FJ1220"/>
    </row>
    <row r="1221" spans="1:166" s="4" customFormat="1" x14ac:dyDescent="0.2">
      <c r="A1221" s="44"/>
      <c r="B1221" s="44"/>
      <c r="C1221" s="44"/>
      <c r="D1221" s="44"/>
      <c r="E1221" s="44"/>
      <c r="F1221" s="58"/>
      <c r="G1221" s="32"/>
      <c r="H1221" s="58"/>
      <c r="I1221" s="58"/>
      <c r="J1221" s="59"/>
      <c r="K1221" s="58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  <c r="DJ1221"/>
      <c r="DK1221"/>
      <c r="DL1221"/>
      <c r="DM1221"/>
      <c r="DN1221"/>
      <c r="DO1221"/>
      <c r="DP1221"/>
      <c r="DQ1221"/>
      <c r="DR1221"/>
      <c r="DS1221"/>
      <c r="DT1221"/>
      <c r="DU1221"/>
      <c r="DV1221"/>
      <c r="DW1221"/>
      <c r="DX1221"/>
      <c r="DY1221"/>
      <c r="DZ1221"/>
      <c r="EA1221"/>
      <c r="EB1221"/>
      <c r="EC1221"/>
      <c r="ED1221"/>
      <c r="EE1221"/>
      <c r="EF1221"/>
      <c r="EG1221"/>
      <c r="EH1221"/>
      <c r="EI1221"/>
      <c r="EJ1221"/>
      <c r="EK1221"/>
      <c r="EL1221"/>
      <c r="EM1221"/>
      <c r="EN1221"/>
      <c r="EO1221"/>
      <c r="EP1221"/>
      <c r="EQ1221"/>
      <c r="ER1221"/>
      <c r="ES1221"/>
      <c r="ET1221"/>
      <c r="EU1221"/>
      <c r="EV1221"/>
      <c r="EW1221"/>
      <c r="EX1221"/>
      <c r="EY1221"/>
      <c r="EZ1221"/>
      <c r="FA1221"/>
      <c r="FB1221"/>
      <c r="FC1221"/>
      <c r="FD1221"/>
      <c r="FE1221"/>
      <c r="FF1221"/>
      <c r="FG1221"/>
      <c r="FH1221"/>
      <c r="FI1221"/>
      <c r="FJ1221"/>
    </row>
    <row r="1222" spans="1:166" s="4" customFormat="1" x14ac:dyDescent="0.2">
      <c r="A1222" s="44"/>
      <c r="B1222" s="44"/>
      <c r="C1222" s="44"/>
      <c r="D1222" s="44"/>
      <c r="E1222" s="44"/>
      <c r="F1222" s="58"/>
      <c r="G1222" s="32"/>
      <c r="H1222" s="58"/>
      <c r="I1222" s="58"/>
      <c r="J1222" s="59"/>
      <c r="K1222" s="58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  <c r="DJ1222"/>
      <c r="DK1222"/>
      <c r="DL1222"/>
      <c r="DM1222"/>
      <c r="DN1222"/>
      <c r="DO1222"/>
      <c r="DP1222"/>
      <c r="DQ1222"/>
      <c r="DR1222"/>
      <c r="DS1222"/>
      <c r="DT1222"/>
      <c r="DU1222"/>
      <c r="DV1222"/>
      <c r="DW1222"/>
      <c r="DX1222"/>
      <c r="DY1222"/>
      <c r="DZ1222"/>
      <c r="EA1222"/>
      <c r="EB1222"/>
      <c r="EC1222"/>
      <c r="ED1222"/>
      <c r="EE1222"/>
      <c r="EF1222"/>
      <c r="EG1222"/>
      <c r="EH1222"/>
      <c r="EI1222"/>
      <c r="EJ1222"/>
      <c r="EK1222"/>
      <c r="EL1222"/>
      <c r="EM1222"/>
      <c r="EN1222"/>
      <c r="EO1222"/>
      <c r="EP1222"/>
      <c r="EQ1222"/>
      <c r="ER1222"/>
      <c r="ES1222"/>
      <c r="ET1222"/>
      <c r="EU1222"/>
      <c r="EV1222"/>
      <c r="EW1222"/>
      <c r="EX1222"/>
      <c r="EY1222"/>
      <c r="EZ1222"/>
      <c r="FA1222"/>
      <c r="FB1222"/>
      <c r="FC1222"/>
      <c r="FD1222"/>
      <c r="FE1222"/>
      <c r="FF1222"/>
      <c r="FG1222"/>
      <c r="FH1222"/>
      <c r="FI1222"/>
      <c r="FJ1222"/>
    </row>
    <row r="1223" spans="1:166" s="4" customFormat="1" x14ac:dyDescent="0.2">
      <c r="A1223" s="44"/>
      <c r="B1223" s="44"/>
      <c r="C1223" s="44"/>
      <c r="D1223" s="44"/>
      <c r="E1223" s="44"/>
      <c r="F1223" s="58"/>
      <c r="G1223" s="32"/>
      <c r="H1223" s="58"/>
      <c r="I1223" s="58"/>
      <c r="J1223" s="59"/>
      <c r="K1223" s="58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  <c r="DJ1223"/>
      <c r="DK1223"/>
      <c r="DL1223"/>
      <c r="DM1223"/>
      <c r="DN1223"/>
      <c r="DO1223"/>
      <c r="DP1223"/>
      <c r="DQ1223"/>
      <c r="DR1223"/>
      <c r="DS1223"/>
      <c r="DT1223"/>
      <c r="DU1223"/>
      <c r="DV1223"/>
      <c r="DW1223"/>
      <c r="DX1223"/>
      <c r="DY1223"/>
      <c r="DZ1223"/>
      <c r="EA1223"/>
      <c r="EB1223"/>
      <c r="EC1223"/>
      <c r="ED1223"/>
      <c r="EE1223"/>
      <c r="EF1223"/>
      <c r="EG1223"/>
      <c r="EH1223"/>
      <c r="EI1223"/>
      <c r="EJ1223"/>
      <c r="EK1223"/>
      <c r="EL1223"/>
      <c r="EM1223"/>
      <c r="EN1223"/>
      <c r="EO1223"/>
      <c r="EP1223"/>
      <c r="EQ1223"/>
      <c r="ER1223"/>
      <c r="ES1223"/>
      <c r="ET1223"/>
      <c r="EU1223"/>
      <c r="EV1223"/>
      <c r="EW1223"/>
      <c r="EX1223"/>
      <c r="EY1223"/>
      <c r="EZ1223"/>
      <c r="FA1223"/>
      <c r="FB1223"/>
      <c r="FC1223"/>
      <c r="FD1223"/>
      <c r="FE1223"/>
      <c r="FF1223"/>
      <c r="FG1223"/>
      <c r="FH1223"/>
      <c r="FI1223"/>
      <c r="FJ1223"/>
    </row>
    <row r="1224" spans="1:166" s="4" customFormat="1" x14ac:dyDescent="0.2">
      <c r="A1224" s="44"/>
      <c r="B1224" s="44"/>
      <c r="C1224" s="44"/>
      <c r="D1224" s="44"/>
      <c r="E1224" s="44"/>
      <c r="F1224" s="58"/>
      <c r="G1224" s="32"/>
      <c r="H1224" s="58"/>
      <c r="I1224" s="58"/>
      <c r="J1224" s="59"/>
      <c r="K1224" s="58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  <c r="DJ1224"/>
      <c r="DK1224"/>
      <c r="DL1224"/>
      <c r="DM1224"/>
      <c r="DN1224"/>
      <c r="DO1224"/>
      <c r="DP1224"/>
      <c r="DQ1224"/>
      <c r="DR1224"/>
      <c r="DS1224"/>
      <c r="DT1224"/>
      <c r="DU1224"/>
      <c r="DV1224"/>
      <c r="DW1224"/>
      <c r="DX1224"/>
      <c r="DY1224"/>
      <c r="DZ1224"/>
      <c r="EA1224"/>
      <c r="EB1224"/>
      <c r="EC1224"/>
      <c r="ED1224"/>
      <c r="EE1224"/>
      <c r="EF1224"/>
      <c r="EG1224"/>
      <c r="EH1224"/>
      <c r="EI1224"/>
      <c r="EJ1224"/>
      <c r="EK1224"/>
      <c r="EL1224"/>
      <c r="EM1224"/>
      <c r="EN1224"/>
      <c r="EO1224"/>
      <c r="EP1224"/>
      <c r="EQ1224"/>
      <c r="ER1224"/>
      <c r="ES1224"/>
      <c r="ET1224"/>
      <c r="EU1224"/>
      <c r="EV1224"/>
      <c r="EW1224"/>
      <c r="EX1224"/>
      <c r="EY1224"/>
      <c r="EZ1224"/>
      <c r="FA1224"/>
      <c r="FB1224"/>
      <c r="FC1224"/>
      <c r="FD1224"/>
      <c r="FE1224"/>
      <c r="FF1224"/>
      <c r="FG1224"/>
      <c r="FH1224"/>
      <c r="FI1224"/>
      <c r="FJ1224"/>
    </row>
    <row r="1225" spans="1:166" s="4" customFormat="1" x14ac:dyDescent="0.2">
      <c r="A1225" s="44"/>
      <c r="B1225" s="44"/>
      <c r="C1225" s="44"/>
      <c r="D1225" s="44"/>
      <c r="E1225" s="44"/>
      <c r="F1225" s="58"/>
      <c r="G1225" s="32"/>
      <c r="H1225" s="58"/>
      <c r="I1225" s="58"/>
      <c r="J1225" s="59"/>
      <c r="K1225" s="58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  <c r="DJ1225"/>
      <c r="DK1225"/>
      <c r="DL1225"/>
      <c r="DM1225"/>
      <c r="DN1225"/>
      <c r="DO1225"/>
      <c r="DP1225"/>
      <c r="DQ1225"/>
      <c r="DR1225"/>
      <c r="DS1225"/>
      <c r="DT1225"/>
      <c r="DU1225"/>
      <c r="DV1225"/>
      <c r="DW1225"/>
      <c r="DX1225"/>
      <c r="DY1225"/>
      <c r="DZ1225"/>
      <c r="EA1225"/>
      <c r="EB1225"/>
      <c r="EC1225"/>
      <c r="ED1225"/>
      <c r="EE1225"/>
      <c r="EF1225"/>
      <c r="EG1225"/>
      <c r="EH1225"/>
      <c r="EI1225"/>
      <c r="EJ1225"/>
      <c r="EK1225"/>
      <c r="EL1225"/>
      <c r="EM1225"/>
      <c r="EN1225"/>
      <c r="EO1225"/>
      <c r="EP1225"/>
      <c r="EQ1225"/>
      <c r="ER1225"/>
      <c r="ES1225"/>
      <c r="ET1225"/>
      <c r="EU1225"/>
      <c r="EV1225"/>
      <c r="EW1225"/>
      <c r="EX1225"/>
      <c r="EY1225"/>
      <c r="EZ1225"/>
      <c r="FA1225"/>
      <c r="FB1225"/>
      <c r="FC1225"/>
      <c r="FD1225"/>
      <c r="FE1225"/>
      <c r="FF1225"/>
      <c r="FG1225"/>
      <c r="FH1225"/>
      <c r="FI1225"/>
      <c r="FJ1225"/>
    </row>
    <row r="1226" spans="1:166" s="4" customFormat="1" x14ac:dyDescent="0.2">
      <c r="A1226" s="44"/>
      <c r="B1226" s="44"/>
      <c r="C1226" s="44"/>
      <c r="D1226" s="44"/>
      <c r="E1226" s="44"/>
      <c r="F1226" s="58"/>
      <c r="G1226" s="32"/>
      <c r="H1226" s="58"/>
      <c r="I1226" s="58"/>
      <c r="J1226" s="59"/>
      <c r="K1226" s="58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  <c r="DJ1226"/>
      <c r="DK1226"/>
      <c r="DL1226"/>
      <c r="DM1226"/>
      <c r="DN1226"/>
      <c r="DO1226"/>
      <c r="DP1226"/>
      <c r="DQ1226"/>
      <c r="DR1226"/>
      <c r="DS1226"/>
      <c r="DT1226"/>
      <c r="DU1226"/>
      <c r="DV1226"/>
      <c r="DW1226"/>
      <c r="DX1226"/>
      <c r="DY1226"/>
      <c r="DZ1226"/>
      <c r="EA1226"/>
      <c r="EB1226"/>
      <c r="EC1226"/>
      <c r="ED1226"/>
      <c r="EE1226"/>
      <c r="EF1226"/>
      <c r="EG1226"/>
      <c r="EH1226"/>
      <c r="EI1226"/>
      <c r="EJ1226"/>
      <c r="EK1226"/>
      <c r="EL1226"/>
      <c r="EM1226"/>
      <c r="EN1226"/>
      <c r="EO1226"/>
      <c r="EP1226"/>
      <c r="EQ1226"/>
      <c r="ER1226"/>
      <c r="ES1226"/>
      <c r="ET1226"/>
      <c r="EU1226"/>
      <c r="EV1226"/>
      <c r="EW1226"/>
      <c r="EX1226"/>
      <c r="EY1226"/>
      <c r="EZ1226"/>
      <c r="FA1226"/>
      <c r="FB1226"/>
      <c r="FC1226"/>
      <c r="FD1226"/>
      <c r="FE1226"/>
      <c r="FF1226"/>
      <c r="FG1226"/>
      <c r="FH1226"/>
      <c r="FI1226"/>
      <c r="FJ1226"/>
    </row>
    <row r="1227" spans="1:166" s="4" customFormat="1" x14ac:dyDescent="0.2">
      <c r="A1227" s="44"/>
      <c r="B1227" s="44"/>
      <c r="C1227" s="44"/>
      <c r="D1227" s="44"/>
      <c r="E1227" s="44"/>
      <c r="F1227" s="58"/>
      <c r="G1227" s="32"/>
      <c r="H1227" s="58"/>
      <c r="I1227" s="58"/>
      <c r="J1227" s="59"/>
      <c r="K1227" s="58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  <c r="DJ1227"/>
      <c r="DK1227"/>
      <c r="DL1227"/>
      <c r="DM1227"/>
      <c r="DN1227"/>
      <c r="DO1227"/>
      <c r="DP1227"/>
      <c r="DQ1227"/>
      <c r="DR1227"/>
      <c r="DS1227"/>
      <c r="DT1227"/>
      <c r="DU1227"/>
      <c r="DV1227"/>
      <c r="DW1227"/>
      <c r="DX1227"/>
      <c r="DY1227"/>
      <c r="DZ1227"/>
      <c r="EA1227"/>
      <c r="EB1227"/>
      <c r="EC1227"/>
      <c r="ED1227"/>
      <c r="EE1227"/>
      <c r="EF1227"/>
      <c r="EG1227"/>
      <c r="EH1227"/>
      <c r="EI1227"/>
      <c r="EJ1227"/>
      <c r="EK1227"/>
      <c r="EL1227"/>
      <c r="EM1227"/>
      <c r="EN1227"/>
      <c r="EO1227"/>
      <c r="EP1227"/>
      <c r="EQ1227"/>
      <c r="ER1227"/>
      <c r="ES1227"/>
      <c r="ET1227"/>
      <c r="EU1227"/>
      <c r="EV1227"/>
      <c r="EW1227"/>
      <c r="EX1227"/>
      <c r="EY1227"/>
      <c r="EZ1227"/>
      <c r="FA1227"/>
      <c r="FB1227"/>
      <c r="FC1227"/>
      <c r="FD1227"/>
      <c r="FE1227"/>
      <c r="FF1227"/>
      <c r="FG1227"/>
      <c r="FH1227"/>
      <c r="FI1227"/>
      <c r="FJ1227"/>
    </row>
    <row r="1228" spans="1:166" s="4" customFormat="1" x14ac:dyDescent="0.2">
      <c r="A1228" s="44"/>
      <c r="B1228" s="44"/>
      <c r="C1228" s="44"/>
      <c r="D1228" s="44"/>
      <c r="E1228" s="44"/>
      <c r="F1228" s="58"/>
      <c r="G1228" s="32"/>
      <c r="H1228" s="58"/>
      <c r="I1228" s="58"/>
      <c r="J1228" s="59"/>
      <c r="K1228" s="5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  <c r="DJ1228"/>
      <c r="DK1228"/>
      <c r="DL1228"/>
      <c r="DM1228"/>
      <c r="DN1228"/>
      <c r="DO1228"/>
      <c r="DP1228"/>
      <c r="DQ1228"/>
      <c r="DR1228"/>
      <c r="DS1228"/>
      <c r="DT1228"/>
      <c r="DU1228"/>
      <c r="DV1228"/>
      <c r="DW1228"/>
      <c r="DX1228"/>
      <c r="DY1228"/>
      <c r="DZ1228"/>
      <c r="EA1228"/>
      <c r="EB1228"/>
      <c r="EC1228"/>
      <c r="ED1228"/>
      <c r="EE1228"/>
      <c r="EF1228"/>
      <c r="EG1228"/>
      <c r="EH1228"/>
      <c r="EI1228"/>
      <c r="EJ1228"/>
      <c r="EK1228"/>
      <c r="EL1228"/>
      <c r="EM1228"/>
      <c r="EN1228"/>
      <c r="EO1228"/>
      <c r="EP1228"/>
      <c r="EQ1228"/>
      <c r="ER1228"/>
      <c r="ES1228"/>
      <c r="ET1228"/>
      <c r="EU1228"/>
      <c r="EV1228"/>
      <c r="EW1228"/>
      <c r="EX1228"/>
      <c r="EY1228"/>
      <c r="EZ1228"/>
      <c r="FA1228"/>
      <c r="FB1228"/>
      <c r="FC1228"/>
      <c r="FD1228"/>
      <c r="FE1228"/>
      <c r="FF1228"/>
      <c r="FG1228"/>
      <c r="FH1228"/>
      <c r="FI1228"/>
      <c r="FJ1228"/>
    </row>
    <row r="1229" spans="1:166" s="4" customFormat="1" x14ac:dyDescent="0.2">
      <c r="A1229" s="44"/>
      <c r="B1229" s="44"/>
      <c r="C1229" s="44"/>
      <c r="D1229" s="44"/>
      <c r="E1229" s="44"/>
      <c r="F1229" s="58"/>
      <c r="G1229" s="32"/>
      <c r="H1229" s="58"/>
      <c r="I1229" s="58"/>
      <c r="J1229" s="59"/>
      <c r="K1229" s="58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  <c r="DJ1229"/>
      <c r="DK1229"/>
      <c r="DL1229"/>
      <c r="DM1229"/>
      <c r="DN1229"/>
      <c r="DO1229"/>
      <c r="DP1229"/>
      <c r="DQ1229"/>
      <c r="DR1229"/>
      <c r="DS1229"/>
      <c r="DT1229"/>
      <c r="DU1229"/>
      <c r="DV1229"/>
      <c r="DW1229"/>
      <c r="DX1229"/>
      <c r="DY1229"/>
      <c r="DZ1229"/>
      <c r="EA1229"/>
      <c r="EB1229"/>
      <c r="EC1229"/>
      <c r="ED1229"/>
      <c r="EE1229"/>
      <c r="EF1229"/>
      <c r="EG1229"/>
      <c r="EH1229"/>
      <c r="EI1229"/>
      <c r="EJ1229"/>
      <c r="EK1229"/>
      <c r="EL1229"/>
      <c r="EM1229"/>
      <c r="EN1229"/>
      <c r="EO1229"/>
      <c r="EP1229"/>
      <c r="EQ1229"/>
      <c r="ER1229"/>
      <c r="ES1229"/>
      <c r="ET1229"/>
      <c r="EU1229"/>
      <c r="EV1229"/>
      <c r="EW1229"/>
      <c r="EX1229"/>
      <c r="EY1229"/>
      <c r="EZ1229"/>
      <c r="FA1229"/>
      <c r="FB1229"/>
      <c r="FC1229"/>
      <c r="FD1229"/>
      <c r="FE1229"/>
      <c r="FF1229"/>
      <c r="FG1229"/>
      <c r="FH1229"/>
      <c r="FI1229"/>
      <c r="FJ1229"/>
    </row>
    <row r="1230" spans="1:166" s="4" customFormat="1" x14ac:dyDescent="0.2">
      <c r="A1230" s="44"/>
      <c r="B1230" s="44"/>
      <c r="C1230" s="44"/>
      <c r="D1230" s="44"/>
      <c r="E1230" s="44"/>
      <c r="F1230" s="58"/>
      <c r="G1230" s="32"/>
      <c r="H1230" s="58"/>
      <c r="I1230" s="58"/>
      <c r="J1230" s="59"/>
      <c r="K1230" s="58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  <c r="DJ1230"/>
      <c r="DK1230"/>
      <c r="DL1230"/>
      <c r="DM1230"/>
      <c r="DN1230"/>
      <c r="DO1230"/>
      <c r="DP1230"/>
      <c r="DQ1230"/>
      <c r="DR1230"/>
      <c r="DS1230"/>
      <c r="DT1230"/>
      <c r="DU1230"/>
      <c r="DV1230"/>
      <c r="DW1230"/>
      <c r="DX1230"/>
      <c r="DY1230"/>
      <c r="DZ1230"/>
      <c r="EA1230"/>
      <c r="EB1230"/>
      <c r="EC1230"/>
      <c r="ED1230"/>
      <c r="EE1230"/>
      <c r="EF1230"/>
      <c r="EG1230"/>
      <c r="EH1230"/>
      <c r="EI1230"/>
      <c r="EJ1230"/>
      <c r="EK1230"/>
      <c r="EL1230"/>
      <c r="EM1230"/>
      <c r="EN1230"/>
      <c r="EO1230"/>
      <c r="EP1230"/>
      <c r="EQ1230"/>
      <c r="ER1230"/>
      <c r="ES1230"/>
      <c r="ET1230"/>
      <c r="EU1230"/>
      <c r="EV1230"/>
      <c r="EW1230"/>
      <c r="EX1230"/>
      <c r="EY1230"/>
      <c r="EZ1230"/>
      <c r="FA1230"/>
      <c r="FB1230"/>
      <c r="FC1230"/>
      <c r="FD1230"/>
      <c r="FE1230"/>
      <c r="FF1230"/>
      <c r="FG1230"/>
      <c r="FH1230"/>
      <c r="FI1230"/>
      <c r="FJ1230"/>
    </row>
    <row r="1231" spans="1:166" s="4" customFormat="1" x14ac:dyDescent="0.2">
      <c r="A1231" s="44"/>
      <c r="B1231" s="44"/>
      <c r="C1231" s="44"/>
      <c r="D1231" s="44"/>
      <c r="E1231" s="44"/>
      <c r="F1231" s="58"/>
      <c r="G1231" s="32"/>
      <c r="H1231" s="58"/>
      <c r="I1231" s="58"/>
      <c r="J1231" s="59"/>
      <c r="K1231" s="58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  <c r="DJ1231"/>
      <c r="DK1231"/>
      <c r="DL1231"/>
      <c r="DM1231"/>
      <c r="DN1231"/>
      <c r="DO1231"/>
      <c r="DP1231"/>
      <c r="DQ1231"/>
      <c r="DR1231"/>
      <c r="DS1231"/>
      <c r="DT1231"/>
      <c r="DU1231"/>
      <c r="DV1231"/>
      <c r="DW1231"/>
      <c r="DX1231"/>
      <c r="DY1231"/>
      <c r="DZ1231"/>
      <c r="EA1231"/>
      <c r="EB1231"/>
      <c r="EC1231"/>
      <c r="ED1231"/>
      <c r="EE1231"/>
      <c r="EF1231"/>
      <c r="EG1231"/>
      <c r="EH1231"/>
      <c r="EI1231"/>
      <c r="EJ1231"/>
      <c r="EK1231"/>
      <c r="EL1231"/>
      <c r="EM1231"/>
      <c r="EN1231"/>
      <c r="EO1231"/>
      <c r="EP1231"/>
      <c r="EQ1231"/>
      <c r="ER1231"/>
      <c r="ES1231"/>
      <c r="ET1231"/>
      <c r="EU1231"/>
      <c r="EV1231"/>
      <c r="EW1231"/>
      <c r="EX1231"/>
      <c r="EY1231"/>
      <c r="EZ1231"/>
      <c r="FA1231"/>
      <c r="FB1231"/>
      <c r="FC1231"/>
      <c r="FD1231"/>
      <c r="FE1231"/>
      <c r="FF1231"/>
      <c r="FG1231"/>
      <c r="FH1231"/>
      <c r="FI1231"/>
      <c r="FJ1231"/>
    </row>
    <row r="1232" spans="1:166" s="4" customFormat="1" x14ac:dyDescent="0.2">
      <c r="A1232" s="44"/>
      <c r="B1232" s="44"/>
      <c r="C1232" s="44"/>
      <c r="D1232" s="44"/>
      <c r="E1232" s="44"/>
      <c r="F1232" s="58"/>
      <c r="G1232" s="32"/>
      <c r="H1232" s="58"/>
      <c r="I1232" s="58"/>
      <c r="J1232" s="59"/>
      <c r="K1232" s="58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  <c r="DJ1232"/>
      <c r="DK1232"/>
      <c r="DL1232"/>
      <c r="DM1232"/>
      <c r="DN1232"/>
      <c r="DO1232"/>
      <c r="DP1232"/>
      <c r="DQ1232"/>
      <c r="DR1232"/>
      <c r="DS1232"/>
      <c r="DT1232"/>
      <c r="DU1232"/>
      <c r="DV1232"/>
      <c r="DW1232"/>
      <c r="DX1232"/>
      <c r="DY1232"/>
      <c r="DZ1232"/>
      <c r="EA1232"/>
      <c r="EB1232"/>
      <c r="EC1232"/>
      <c r="ED1232"/>
      <c r="EE1232"/>
      <c r="EF1232"/>
      <c r="EG1232"/>
      <c r="EH1232"/>
      <c r="EI1232"/>
      <c r="EJ1232"/>
      <c r="EK1232"/>
      <c r="EL1232"/>
      <c r="EM1232"/>
      <c r="EN1232"/>
      <c r="EO1232"/>
      <c r="EP1232"/>
      <c r="EQ1232"/>
      <c r="ER1232"/>
      <c r="ES1232"/>
      <c r="ET1232"/>
      <c r="EU1232"/>
      <c r="EV1232"/>
      <c r="EW1232"/>
      <c r="EX1232"/>
      <c r="EY1232"/>
      <c r="EZ1232"/>
      <c r="FA1232"/>
      <c r="FB1232"/>
      <c r="FC1232"/>
      <c r="FD1232"/>
      <c r="FE1232"/>
      <c r="FF1232"/>
      <c r="FG1232"/>
      <c r="FH1232"/>
      <c r="FI1232"/>
      <c r="FJ1232"/>
    </row>
    <row r="1233" spans="1:166" s="4" customFormat="1" x14ac:dyDescent="0.2">
      <c r="A1233" s="44"/>
      <c r="B1233" s="44"/>
      <c r="C1233" s="44"/>
      <c r="D1233" s="44"/>
      <c r="E1233" s="44"/>
      <c r="F1233" s="58"/>
      <c r="G1233" s="32"/>
      <c r="H1233" s="58"/>
      <c r="I1233" s="58"/>
      <c r="J1233" s="59"/>
      <c r="K1233" s="58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  <c r="DJ1233"/>
      <c r="DK1233"/>
      <c r="DL1233"/>
      <c r="DM1233"/>
      <c r="DN1233"/>
      <c r="DO1233"/>
      <c r="DP1233"/>
      <c r="DQ1233"/>
      <c r="DR1233"/>
      <c r="DS1233"/>
      <c r="DT1233"/>
      <c r="DU1233"/>
      <c r="DV1233"/>
      <c r="DW1233"/>
      <c r="DX1233"/>
      <c r="DY1233"/>
      <c r="DZ1233"/>
      <c r="EA1233"/>
      <c r="EB1233"/>
      <c r="EC1233"/>
      <c r="ED1233"/>
      <c r="EE1233"/>
      <c r="EF1233"/>
      <c r="EG1233"/>
      <c r="EH1233"/>
      <c r="EI1233"/>
      <c r="EJ1233"/>
      <c r="EK1233"/>
      <c r="EL1233"/>
      <c r="EM1233"/>
      <c r="EN1233"/>
      <c r="EO1233"/>
      <c r="EP1233"/>
      <c r="EQ1233"/>
      <c r="ER1233"/>
      <c r="ES1233"/>
      <c r="ET1233"/>
      <c r="EU1233"/>
      <c r="EV1233"/>
      <c r="EW1233"/>
      <c r="EX1233"/>
      <c r="EY1233"/>
      <c r="EZ1233"/>
      <c r="FA1233"/>
      <c r="FB1233"/>
      <c r="FC1233"/>
      <c r="FD1233"/>
      <c r="FE1233"/>
      <c r="FF1233"/>
      <c r="FG1233"/>
      <c r="FH1233"/>
      <c r="FI1233"/>
      <c r="FJ1233"/>
    </row>
    <row r="1234" spans="1:166" s="4" customFormat="1" x14ac:dyDescent="0.2">
      <c r="A1234" s="44"/>
      <c r="B1234" s="44"/>
      <c r="C1234" s="44"/>
      <c r="D1234" s="44"/>
      <c r="E1234" s="44"/>
      <c r="F1234" s="58"/>
      <c r="G1234" s="32"/>
      <c r="H1234" s="58"/>
      <c r="I1234" s="58"/>
      <c r="J1234" s="59"/>
      <c r="K1234" s="58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  <c r="DJ1234"/>
      <c r="DK1234"/>
      <c r="DL1234"/>
      <c r="DM1234"/>
      <c r="DN1234"/>
      <c r="DO1234"/>
      <c r="DP1234"/>
      <c r="DQ1234"/>
      <c r="DR1234"/>
      <c r="DS1234"/>
      <c r="DT1234"/>
      <c r="DU1234"/>
      <c r="DV1234"/>
      <c r="DW1234"/>
      <c r="DX1234"/>
      <c r="DY1234"/>
      <c r="DZ1234"/>
      <c r="EA1234"/>
      <c r="EB1234"/>
      <c r="EC1234"/>
      <c r="ED1234"/>
      <c r="EE1234"/>
      <c r="EF1234"/>
      <c r="EG1234"/>
      <c r="EH1234"/>
      <c r="EI1234"/>
      <c r="EJ1234"/>
      <c r="EK1234"/>
      <c r="EL1234"/>
      <c r="EM1234"/>
      <c r="EN1234"/>
      <c r="EO1234"/>
      <c r="EP1234"/>
      <c r="EQ1234"/>
      <c r="ER1234"/>
      <c r="ES1234"/>
      <c r="ET1234"/>
      <c r="EU1234"/>
      <c r="EV1234"/>
      <c r="EW1234"/>
      <c r="EX1234"/>
      <c r="EY1234"/>
      <c r="EZ1234"/>
      <c r="FA1234"/>
      <c r="FB1234"/>
      <c r="FC1234"/>
      <c r="FD1234"/>
      <c r="FE1234"/>
      <c r="FF1234"/>
      <c r="FG1234"/>
      <c r="FH1234"/>
      <c r="FI1234"/>
      <c r="FJ1234"/>
    </row>
    <row r="1235" spans="1:166" s="4" customFormat="1" x14ac:dyDescent="0.2">
      <c r="A1235" s="44"/>
      <c r="B1235" s="44"/>
      <c r="C1235" s="44"/>
      <c r="D1235" s="44"/>
      <c r="E1235" s="44"/>
      <c r="F1235" s="58"/>
      <c r="G1235" s="32"/>
      <c r="H1235" s="58"/>
      <c r="I1235" s="58"/>
      <c r="J1235" s="59"/>
      <c r="K1235" s="58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  <c r="DJ1235"/>
      <c r="DK1235"/>
      <c r="DL1235"/>
      <c r="DM1235"/>
      <c r="DN1235"/>
      <c r="DO1235"/>
      <c r="DP1235"/>
      <c r="DQ1235"/>
      <c r="DR1235"/>
      <c r="DS1235"/>
      <c r="DT1235"/>
      <c r="DU1235"/>
      <c r="DV1235"/>
      <c r="DW1235"/>
      <c r="DX1235"/>
      <c r="DY1235"/>
      <c r="DZ1235"/>
      <c r="EA1235"/>
      <c r="EB1235"/>
      <c r="EC1235"/>
      <c r="ED1235"/>
      <c r="EE1235"/>
      <c r="EF1235"/>
      <c r="EG1235"/>
      <c r="EH1235"/>
      <c r="EI1235"/>
      <c r="EJ1235"/>
      <c r="EK1235"/>
      <c r="EL1235"/>
      <c r="EM1235"/>
      <c r="EN1235"/>
      <c r="EO1235"/>
      <c r="EP1235"/>
      <c r="EQ1235"/>
      <c r="ER1235"/>
      <c r="ES1235"/>
      <c r="ET1235"/>
      <c r="EU1235"/>
      <c r="EV1235"/>
      <c r="EW1235"/>
      <c r="EX1235"/>
      <c r="EY1235"/>
      <c r="EZ1235"/>
      <c r="FA1235"/>
      <c r="FB1235"/>
      <c r="FC1235"/>
      <c r="FD1235"/>
      <c r="FE1235"/>
      <c r="FF1235"/>
      <c r="FG1235"/>
      <c r="FH1235"/>
      <c r="FI1235"/>
      <c r="FJ1235"/>
    </row>
    <row r="1236" spans="1:166" s="4" customFormat="1" x14ac:dyDescent="0.2">
      <c r="A1236" s="44"/>
      <c r="B1236" s="44"/>
      <c r="C1236" s="44"/>
      <c r="D1236" s="44"/>
      <c r="E1236" s="44"/>
      <c r="F1236" s="58"/>
      <c r="G1236" s="32"/>
      <c r="H1236" s="58"/>
      <c r="I1236" s="58"/>
      <c r="J1236" s="59"/>
      <c r="K1236" s="58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  <c r="DJ1236"/>
      <c r="DK1236"/>
      <c r="DL1236"/>
      <c r="DM1236"/>
      <c r="DN1236"/>
      <c r="DO1236"/>
      <c r="DP1236"/>
      <c r="DQ1236"/>
      <c r="DR1236"/>
      <c r="DS1236"/>
      <c r="DT1236"/>
      <c r="DU1236"/>
      <c r="DV1236"/>
      <c r="DW1236"/>
      <c r="DX1236"/>
      <c r="DY1236"/>
      <c r="DZ1236"/>
      <c r="EA1236"/>
      <c r="EB1236"/>
      <c r="EC1236"/>
      <c r="ED1236"/>
      <c r="EE1236"/>
      <c r="EF1236"/>
      <c r="EG1236"/>
      <c r="EH1236"/>
      <c r="EI1236"/>
      <c r="EJ1236"/>
      <c r="EK1236"/>
      <c r="EL1236"/>
      <c r="EM1236"/>
      <c r="EN1236"/>
      <c r="EO1236"/>
      <c r="EP1236"/>
      <c r="EQ1236"/>
      <c r="ER1236"/>
      <c r="ES1236"/>
      <c r="ET1236"/>
      <c r="EU1236"/>
      <c r="EV1236"/>
      <c r="EW1236"/>
      <c r="EX1236"/>
      <c r="EY1236"/>
      <c r="EZ1236"/>
      <c r="FA1236"/>
      <c r="FB1236"/>
      <c r="FC1236"/>
      <c r="FD1236"/>
      <c r="FE1236"/>
      <c r="FF1236"/>
      <c r="FG1236"/>
      <c r="FH1236"/>
      <c r="FI1236"/>
      <c r="FJ1236"/>
    </row>
    <row r="1237" spans="1:166" s="4" customFormat="1" x14ac:dyDescent="0.2">
      <c r="A1237" s="44"/>
      <c r="B1237" s="44"/>
      <c r="C1237" s="44"/>
      <c r="D1237" s="44"/>
      <c r="E1237" s="44"/>
      <c r="F1237" s="58"/>
      <c r="G1237" s="32"/>
      <c r="H1237" s="58"/>
      <c r="I1237" s="58"/>
      <c r="J1237" s="59"/>
      <c r="K1237" s="58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  <c r="DJ1237"/>
      <c r="DK1237"/>
      <c r="DL1237"/>
      <c r="DM1237"/>
      <c r="DN1237"/>
      <c r="DO1237"/>
      <c r="DP1237"/>
      <c r="DQ1237"/>
      <c r="DR1237"/>
      <c r="DS1237"/>
      <c r="DT1237"/>
      <c r="DU1237"/>
      <c r="DV1237"/>
      <c r="DW1237"/>
      <c r="DX1237"/>
      <c r="DY1237"/>
      <c r="DZ1237"/>
      <c r="EA1237"/>
      <c r="EB1237"/>
      <c r="EC1237"/>
      <c r="ED1237"/>
      <c r="EE1237"/>
      <c r="EF1237"/>
      <c r="EG1237"/>
      <c r="EH1237"/>
      <c r="EI1237"/>
      <c r="EJ1237"/>
      <c r="EK1237"/>
      <c r="EL1237"/>
      <c r="EM1237"/>
      <c r="EN1237"/>
      <c r="EO1237"/>
      <c r="EP1237"/>
      <c r="EQ1237"/>
      <c r="ER1237"/>
      <c r="ES1237"/>
      <c r="ET1237"/>
      <c r="EU1237"/>
      <c r="EV1237"/>
      <c r="EW1237"/>
      <c r="EX1237"/>
      <c r="EY1237"/>
      <c r="EZ1237"/>
      <c r="FA1237"/>
      <c r="FB1237"/>
      <c r="FC1237"/>
      <c r="FD1237"/>
      <c r="FE1237"/>
      <c r="FF1237"/>
      <c r="FG1237"/>
      <c r="FH1237"/>
      <c r="FI1237"/>
      <c r="FJ1237"/>
    </row>
    <row r="1238" spans="1:166" s="4" customFormat="1" x14ac:dyDescent="0.2">
      <c r="A1238" s="44"/>
      <c r="B1238" s="44"/>
      <c r="C1238" s="44"/>
      <c r="D1238" s="44"/>
      <c r="E1238" s="44"/>
      <c r="F1238" s="58"/>
      <c r="G1238" s="32"/>
      <c r="H1238" s="58"/>
      <c r="I1238" s="58"/>
      <c r="J1238" s="59"/>
      <c r="K1238" s="5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  <c r="DJ1238"/>
      <c r="DK1238"/>
      <c r="DL1238"/>
      <c r="DM1238"/>
      <c r="DN1238"/>
      <c r="DO1238"/>
      <c r="DP1238"/>
      <c r="DQ1238"/>
      <c r="DR1238"/>
      <c r="DS1238"/>
      <c r="DT1238"/>
      <c r="DU1238"/>
      <c r="DV1238"/>
      <c r="DW1238"/>
      <c r="DX1238"/>
      <c r="DY1238"/>
      <c r="DZ1238"/>
      <c r="EA1238"/>
      <c r="EB1238"/>
      <c r="EC1238"/>
      <c r="ED1238"/>
      <c r="EE1238"/>
      <c r="EF1238"/>
      <c r="EG1238"/>
      <c r="EH1238"/>
      <c r="EI1238"/>
      <c r="EJ1238"/>
      <c r="EK1238"/>
      <c r="EL1238"/>
      <c r="EM1238"/>
      <c r="EN1238"/>
      <c r="EO1238"/>
      <c r="EP1238"/>
      <c r="EQ1238"/>
      <c r="ER1238"/>
      <c r="ES1238"/>
      <c r="ET1238"/>
      <c r="EU1238"/>
      <c r="EV1238"/>
      <c r="EW1238"/>
      <c r="EX1238"/>
      <c r="EY1238"/>
      <c r="EZ1238"/>
      <c r="FA1238"/>
      <c r="FB1238"/>
      <c r="FC1238"/>
      <c r="FD1238"/>
      <c r="FE1238"/>
      <c r="FF1238"/>
      <c r="FG1238"/>
      <c r="FH1238"/>
      <c r="FI1238"/>
      <c r="FJ1238"/>
    </row>
    <row r="1239" spans="1:166" s="4" customFormat="1" x14ac:dyDescent="0.2">
      <c r="A1239" s="44"/>
      <c r="B1239" s="44"/>
      <c r="C1239" s="44"/>
      <c r="D1239" s="44"/>
      <c r="E1239" s="44"/>
      <c r="F1239" s="58"/>
      <c r="G1239" s="32"/>
      <c r="H1239" s="58"/>
      <c r="I1239" s="58"/>
      <c r="J1239" s="59"/>
      <c r="K1239" s="58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  <c r="DJ1239"/>
      <c r="DK1239"/>
      <c r="DL1239"/>
      <c r="DM1239"/>
      <c r="DN1239"/>
      <c r="DO1239"/>
      <c r="DP1239"/>
      <c r="DQ1239"/>
      <c r="DR1239"/>
      <c r="DS1239"/>
      <c r="DT1239"/>
      <c r="DU1239"/>
      <c r="DV1239"/>
      <c r="DW1239"/>
      <c r="DX1239"/>
      <c r="DY1239"/>
      <c r="DZ1239"/>
      <c r="EA1239"/>
      <c r="EB1239"/>
      <c r="EC1239"/>
      <c r="ED1239"/>
      <c r="EE1239"/>
      <c r="EF1239"/>
      <c r="EG1239"/>
      <c r="EH1239"/>
      <c r="EI1239"/>
      <c r="EJ1239"/>
      <c r="EK1239"/>
      <c r="EL1239"/>
      <c r="EM1239"/>
      <c r="EN1239"/>
      <c r="EO1239"/>
      <c r="EP1239"/>
      <c r="EQ1239"/>
      <c r="ER1239"/>
      <c r="ES1239"/>
      <c r="ET1239"/>
      <c r="EU1239"/>
      <c r="EV1239"/>
      <c r="EW1239"/>
      <c r="EX1239"/>
      <c r="EY1239"/>
      <c r="EZ1239"/>
      <c r="FA1239"/>
      <c r="FB1239"/>
      <c r="FC1239"/>
      <c r="FD1239"/>
      <c r="FE1239"/>
      <c r="FF1239"/>
      <c r="FG1239"/>
      <c r="FH1239"/>
      <c r="FI1239"/>
      <c r="FJ1239"/>
    </row>
    <row r="1240" spans="1:166" s="4" customFormat="1" x14ac:dyDescent="0.2">
      <c r="A1240" s="44"/>
      <c r="B1240" s="44"/>
      <c r="C1240" s="44"/>
      <c r="D1240" s="44"/>
      <c r="E1240" s="44"/>
      <c r="F1240" s="58"/>
      <c r="G1240" s="32"/>
      <c r="H1240" s="58"/>
      <c r="I1240" s="58"/>
      <c r="J1240" s="59"/>
      <c r="K1240" s="58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  <c r="DJ1240"/>
      <c r="DK1240"/>
      <c r="DL1240"/>
      <c r="DM1240"/>
      <c r="DN1240"/>
      <c r="DO1240"/>
      <c r="DP1240"/>
      <c r="DQ1240"/>
      <c r="DR1240"/>
      <c r="DS1240"/>
      <c r="DT1240"/>
      <c r="DU1240"/>
      <c r="DV1240"/>
      <c r="DW1240"/>
      <c r="DX1240"/>
      <c r="DY1240"/>
      <c r="DZ1240"/>
      <c r="EA1240"/>
      <c r="EB1240"/>
      <c r="EC1240"/>
      <c r="ED1240"/>
      <c r="EE1240"/>
      <c r="EF1240"/>
      <c r="EG1240"/>
      <c r="EH1240"/>
      <c r="EI1240"/>
      <c r="EJ1240"/>
      <c r="EK1240"/>
      <c r="EL1240"/>
      <c r="EM1240"/>
      <c r="EN1240"/>
      <c r="EO1240"/>
      <c r="EP1240"/>
      <c r="EQ1240"/>
      <c r="ER1240"/>
      <c r="ES1240"/>
      <c r="ET1240"/>
      <c r="EU1240"/>
      <c r="EV1240"/>
      <c r="EW1240"/>
      <c r="EX1240"/>
      <c r="EY1240"/>
      <c r="EZ1240"/>
      <c r="FA1240"/>
      <c r="FB1240"/>
      <c r="FC1240"/>
      <c r="FD1240"/>
      <c r="FE1240"/>
      <c r="FF1240"/>
      <c r="FG1240"/>
      <c r="FH1240"/>
      <c r="FI1240"/>
      <c r="FJ1240"/>
    </row>
    <row r="1241" spans="1:166" s="4" customFormat="1" x14ac:dyDescent="0.2">
      <c r="A1241" s="44"/>
      <c r="B1241" s="44"/>
      <c r="C1241" s="44"/>
      <c r="D1241" s="44"/>
      <c r="E1241" s="44"/>
      <c r="F1241" s="58"/>
      <c r="G1241" s="32"/>
      <c r="H1241" s="58"/>
      <c r="I1241" s="58"/>
      <c r="J1241" s="59"/>
      <c r="K1241" s="58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  <c r="DJ1241"/>
      <c r="DK1241"/>
      <c r="DL1241"/>
      <c r="DM1241"/>
      <c r="DN1241"/>
      <c r="DO1241"/>
      <c r="DP1241"/>
      <c r="DQ1241"/>
      <c r="DR1241"/>
      <c r="DS1241"/>
      <c r="DT1241"/>
      <c r="DU1241"/>
      <c r="DV1241"/>
      <c r="DW1241"/>
      <c r="DX1241"/>
      <c r="DY1241"/>
      <c r="DZ1241"/>
      <c r="EA1241"/>
      <c r="EB1241"/>
      <c r="EC1241"/>
      <c r="ED1241"/>
      <c r="EE1241"/>
      <c r="EF1241"/>
      <c r="EG1241"/>
      <c r="EH1241"/>
      <c r="EI1241"/>
      <c r="EJ1241"/>
      <c r="EK1241"/>
      <c r="EL1241"/>
      <c r="EM1241"/>
      <c r="EN1241"/>
      <c r="EO1241"/>
      <c r="EP1241"/>
      <c r="EQ1241"/>
      <c r="ER1241"/>
      <c r="ES1241"/>
      <c r="ET1241"/>
      <c r="EU1241"/>
      <c r="EV1241"/>
      <c r="EW1241"/>
      <c r="EX1241"/>
      <c r="EY1241"/>
      <c r="EZ1241"/>
      <c r="FA1241"/>
      <c r="FB1241"/>
      <c r="FC1241"/>
      <c r="FD1241"/>
      <c r="FE1241"/>
      <c r="FF1241"/>
      <c r="FG1241"/>
      <c r="FH1241"/>
      <c r="FI1241"/>
      <c r="FJ1241"/>
    </row>
    <row r="1242" spans="1:166" s="4" customFormat="1" x14ac:dyDescent="0.2">
      <c r="A1242" s="44"/>
      <c r="B1242" s="44"/>
      <c r="C1242" s="44"/>
      <c r="D1242" s="44"/>
      <c r="E1242" s="44"/>
      <c r="F1242" s="58"/>
      <c r="G1242" s="32"/>
      <c r="H1242" s="58"/>
      <c r="I1242" s="58"/>
      <c r="J1242" s="59"/>
      <c r="K1242" s="58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  <c r="DJ1242"/>
      <c r="DK1242"/>
      <c r="DL1242"/>
      <c r="DM1242"/>
      <c r="DN1242"/>
      <c r="DO1242"/>
      <c r="DP1242"/>
      <c r="DQ1242"/>
      <c r="DR1242"/>
      <c r="DS1242"/>
      <c r="DT1242"/>
      <c r="DU1242"/>
      <c r="DV1242"/>
      <c r="DW1242"/>
      <c r="DX1242"/>
      <c r="DY1242"/>
      <c r="DZ1242"/>
      <c r="EA1242"/>
      <c r="EB1242"/>
      <c r="EC1242"/>
      <c r="ED1242"/>
      <c r="EE1242"/>
      <c r="EF1242"/>
      <c r="EG1242"/>
      <c r="EH1242"/>
      <c r="EI1242"/>
      <c r="EJ1242"/>
      <c r="EK1242"/>
      <c r="EL1242"/>
      <c r="EM1242"/>
      <c r="EN1242"/>
      <c r="EO1242"/>
      <c r="EP1242"/>
      <c r="EQ1242"/>
      <c r="ER1242"/>
      <c r="ES1242"/>
      <c r="ET1242"/>
      <c r="EU1242"/>
      <c r="EV1242"/>
      <c r="EW1242"/>
      <c r="EX1242"/>
      <c r="EY1242"/>
      <c r="EZ1242"/>
      <c r="FA1242"/>
      <c r="FB1242"/>
      <c r="FC1242"/>
      <c r="FD1242"/>
      <c r="FE1242"/>
      <c r="FF1242"/>
      <c r="FG1242"/>
      <c r="FH1242"/>
      <c r="FI1242"/>
      <c r="FJ1242"/>
    </row>
    <row r="1243" spans="1:166" s="4" customFormat="1" x14ac:dyDescent="0.2">
      <c r="A1243" s="44"/>
      <c r="B1243" s="44"/>
      <c r="C1243" s="44"/>
      <c r="D1243" s="44"/>
      <c r="E1243" s="44"/>
      <c r="F1243" s="58"/>
      <c r="G1243" s="32"/>
      <c r="H1243" s="58"/>
      <c r="I1243" s="58"/>
      <c r="J1243" s="59"/>
      <c r="K1243" s="58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  <c r="DJ1243"/>
      <c r="DK1243"/>
      <c r="DL1243"/>
      <c r="DM1243"/>
      <c r="DN1243"/>
      <c r="DO1243"/>
      <c r="DP1243"/>
      <c r="DQ1243"/>
      <c r="DR1243"/>
      <c r="DS1243"/>
      <c r="DT1243"/>
      <c r="DU1243"/>
      <c r="DV1243"/>
      <c r="DW1243"/>
      <c r="DX1243"/>
      <c r="DY1243"/>
      <c r="DZ1243"/>
      <c r="EA1243"/>
      <c r="EB1243"/>
      <c r="EC1243"/>
      <c r="ED1243"/>
      <c r="EE1243"/>
      <c r="EF1243"/>
      <c r="EG1243"/>
      <c r="EH1243"/>
      <c r="EI1243"/>
      <c r="EJ1243"/>
      <c r="EK1243"/>
      <c r="EL1243"/>
      <c r="EM1243"/>
      <c r="EN1243"/>
      <c r="EO1243"/>
      <c r="EP1243"/>
      <c r="EQ1243"/>
      <c r="ER1243"/>
      <c r="ES1243"/>
      <c r="ET1243"/>
      <c r="EU1243"/>
      <c r="EV1243"/>
      <c r="EW1243"/>
      <c r="EX1243"/>
      <c r="EY1243"/>
      <c r="EZ1243"/>
      <c r="FA1243"/>
      <c r="FB1243"/>
      <c r="FC1243"/>
      <c r="FD1243"/>
      <c r="FE1243"/>
      <c r="FF1243"/>
      <c r="FG1243"/>
      <c r="FH1243"/>
      <c r="FI1243"/>
      <c r="FJ1243"/>
    </row>
    <row r="1244" spans="1:166" s="4" customFormat="1" x14ac:dyDescent="0.2">
      <c r="A1244" s="44"/>
      <c r="B1244" s="44"/>
      <c r="C1244" s="44"/>
      <c r="D1244" s="44"/>
      <c r="E1244" s="44"/>
      <c r="F1244" s="58"/>
      <c r="G1244" s="32"/>
      <c r="H1244" s="58"/>
      <c r="I1244" s="58"/>
      <c r="J1244" s="59"/>
      <c r="K1244" s="58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  <c r="DJ1244"/>
      <c r="DK1244"/>
      <c r="DL1244"/>
      <c r="DM1244"/>
      <c r="DN1244"/>
      <c r="DO1244"/>
      <c r="DP1244"/>
      <c r="DQ1244"/>
      <c r="DR1244"/>
      <c r="DS1244"/>
      <c r="DT1244"/>
      <c r="DU1244"/>
      <c r="DV1244"/>
      <c r="DW1244"/>
      <c r="DX1244"/>
      <c r="DY1244"/>
      <c r="DZ1244"/>
      <c r="EA1244"/>
      <c r="EB1244"/>
      <c r="EC1244"/>
      <c r="ED1244"/>
      <c r="EE1244"/>
      <c r="EF1244"/>
      <c r="EG1244"/>
      <c r="EH1244"/>
      <c r="EI1244"/>
      <c r="EJ1244"/>
      <c r="EK1244"/>
      <c r="EL1244"/>
      <c r="EM1244"/>
      <c r="EN1244"/>
      <c r="EO1244"/>
      <c r="EP1244"/>
      <c r="EQ1244"/>
      <c r="ER1244"/>
      <c r="ES1244"/>
      <c r="ET1244"/>
      <c r="EU1244"/>
      <c r="EV1244"/>
      <c r="EW1244"/>
      <c r="EX1244"/>
      <c r="EY1244"/>
      <c r="EZ1244"/>
      <c r="FA1244"/>
      <c r="FB1244"/>
      <c r="FC1244"/>
      <c r="FD1244"/>
      <c r="FE1244"/>
      <c r="FF1244"/>
      <c r="FG1244"/>
      <c r="FH1244"/>
      <c r="FI1244"/>
      <c r="FJ1244"/>
    </row>
    <row r="1245" spans="1:166" s="4" customFormat="1" x14ac:dyDescent="0.2">
      <c r="A1245" s="44"/>
      <c r="B1245" s="44"/>
      <c r="C1245" s="44"/>
      <c r="D1245" s="44"/>
      <c r="E1245" s="44"/>
      <c r="F1245" s="58"/>
      <c r="G1245" s="32"/>
      <c r="H1245" s="58"/>
      <c r="I1245" s="58"/>
      <c r="J1245" s="59"/>
      <c r="K1245" s="58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  <c r="DJ1245"/>
      <c r="DK1245"/>
      <c r="DL1245"/>
      <c r="DM1245"/>
      <c r="DN1245"/>
      <c r="DO1245"/>
      <c r="DP1245"/>
      <c r="DQ1245"/>
      <c r="DR1245"/>
      <c r="DS1245"/>
      <c r="DT1245"/>
      <c r="DU1245"/>
      <c r="DV1245"/>
      <c r="DW1245"/>
      <c r="DX1245"/>
      <c r="DY1245"/>
      <c r="DZ1245"/>
      <c r="EA1245"/>
      <c r="EB1245"/>
      <c r="EC1245"/>
      <c r="ED1245"/>
      <c r="EE1245"/>
      <c r="EF1245"/>
      <c r="EG1245"/>
      <c r="EH1245"/>
      <c r="EI1245"/>
      <c r="EJ1245"/>
      <c r="EK1245"/>
      <c r="EL1245"/>
      <c r="EM1245"/>
      <c r="EN1245"/>
      <c r="EO1245"/>
      <c r="EP1245"/>
      <c r="EQ1245"/>
      <c r="ER1245"/>
      <c r="ES1245"/>
      <c r="ET1245"/>
      <c r="EU1245"/>
      <c r="EV1245"/>
      <c r="EW1245"/>
      <c r="EX1245"/>
      <c r="EY1245"/>
      <c r="EZ1245"/>
      <c r="FA1245"/>
      <c r="FB1245"/>
      <c r="FC1245"/>
      <c r="FD1245"/>
      <c r="FE1245"/>
      <c r="FF1245"/>
      <c r="FG1245"/>
      <c r="FH1245"/>
      <c r="FI1245"/>
      <c r="FJ1245"/>
    </row>
    <row r="1246" spans="1:166" s="4" customFormat="1" x14ac:dyDescent="0.2">
      <c r="A1246" s="44"/>
      <c r="B1246" s="44"/>
      <c r="C1246" s="44"/>
      <c r="D1246" s="44"/>
      <c r="E1246" s="44"/>
      <c r="F1246" s="58"/>
      <c r="G1246" s="32"/>
      <c r="H1246" s="58"/>
      <c r="I1246" s="58"/>
      <c r="J1246" s="59"/>
      <c r="K1246" s="58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  <c r="DJ1246"/>
      <c r="DK1246"/>
      <c r="DL1246"/>
      <c r="DM1246"/>
      <c r="DN1246"/>
      <c r="DO1246"/>
      <c r="DP1246"/>
      <c r="DQ1246"/>
      <c r="DR1246"/>
      <c r="DS1246"/>
      <c r="DT1246"/>
      <c r="DU1246"/>
      <c r="DV1246"/>
      <c r="DW1246"/>
      <c r="DX1246"/>
      <c r="DY1246"/>
      <c r="DZ1246"/>
      <c r="EA1246"/>
      <c r="EB1246"/>
      <c r="EC1246"/>
      <c r="ED1246"/>
      <c r="EE1246"/>
      <c r="EF1246"/>
      <c r="EG1246"/>
      <c r="EH1246"/>
      <c r="EI1246"/>
      <c r="EJ1246"/>
      <c r="EK1246"/>
      <c r="EL1246"/>
      <c r="EM1246"/>
      <c r="EN1246"/>
      <c r="EO1246"/>
      <c r="EP1246"/>
      <c r="EQ1246"/>
      <c r="ER1246"/>
      <c r="ES1246"/>
      <c r="ET1246"/>
      <c r="EU1246"/>
      <c r="EV1246"/>
      <c r="EW1246"/>
      <c r="EX1246"/>
      <c r="EY1246"/>
      <c r="EZ1246"/>
      <c r="FA1246"/>
      <c r="FB1246"/>
      <c r="FC1246"/>
      <c r="FD1246"/>
      <c r="FE1246"/>
      <c r="FF1246"/>
      <c r="FG1246"/>
      <c r="FH1246"/>
      <c r="FI1246"/>
      <c r="FJ1246"/>
    </row>
    <row r="1247" spans="1:166" s="4" customFormat="1" x14ac:dyDescent="0.2">
      <c r="A1247" s="44"/>
      <c r="B1247" s="44"/>
      <c r="C1247" s="44"/>
      <c r="D1247" s="44"/>
      <c r="E1247" s="44"/>
      <c r="F1247" s="58"/>
      <c r="G1247" s="32"/>
      <c r="H1247" s="58"/>
      <c r="I1247" s="58"/>
      <c r="J1247" s="59"/>
      <c r="K1247" s="58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  <c r="DL1247"/>
      <c r="DM1247"/>
      <c r="DN1247"/>
      <c r="DO1247"/>
      <c r="DP1247"/>
      <c r="DQ1247"/>
      <c r="DR1247"/>
      <c r="DS1247"/>
      <c r="DT1247"/>
      <c r="DU1247"/>
      <c r="DV1247"/>
      <c r="DW1247"/>
      <c r="DX1247"/>
      <c r="DY1247"/>
      <c r="DZ1247"/>
      <c r="EA1247"/>
      <c r="EB1247"/>
      <c r="EC1247"/>
      <c r="ED1247"/>
      <c r="EE1247"/>
      <c r="EF1247"/>
      <c r="EG1247"/>
      <c r="EH1247"/>
      <c r="EI1247"/>
      <c r="EJ1247"/>
      <c r="EK1247"/>
      <c r="EL1247"/>
      <c r="EM1247"/>
      <c r="EN1247"/>
      <c r="EO1247"/>
      <c r="EP1247"/>
      <c r="EQ1247"/>
      <c r="ER1247"/>
      <c r="ES1247"/>
      <c r="ET1247"/>
      <c r="EU1247"/>
      <c r="EV1247"/>
      <c r="EW1247"/>
      <c r="EX1247"/>
      <c r="EY1247"/>
      <c r="EZ1247"/>
      <c r="FA1247"/>
      <c r="FB1247"/>
      <c r="FC1247"/>
      <c r="FD1247"/>
      <c r="FE1247"/>
      <c r="FF1247"/>
      <c r="FG1247"/>
      <c r="FH1247"/>
      <c r="FI1247"/>
      <c r="FJ1247"/>
    </row>
    <row r="1248" spans="1:166" s="4" customFormat="1" x14ac:dyDescent="0.2">
      <c r="A1248" s="44"/>
      <c r="B1248" s="44"/>
      <c r="C1248" s="44"/>
      <c r="D1248" s="44"/>
      <c r="E1248" s="44"/>
      <c r="F1248" s="58"/>
      <c r="G1248" s="32"/>
      <c r="H1248" s="58"/>
      <c r="I1248" s="58"/>
      <c r="J1248" s="59"/>
      <c r="K1248" s="5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  <c r="DJ1248"/>
      <c r="DK1248"/>
      <c r="DL1248"/>
      <c r="DM1248"/>
      <c r="DN1248"/>
      <c r="DO1248"/>
      <c r="DP1248"/>
      <c r="DQ1248"/>
      <c r="DR1248"/>
      <c r="DS1248"/>
      <c r="DT1248"/>
      <c r="DU1248"/>
      <c r="DV1248"/>
      <c r="DW1248"/>
      <c r="DX1248"/>
      <c r="DY1248"/>
      <c r="DZ1248"/>
      <c r="EA1248"/>
      <c r="EB1248"/>
      <c r="EC1248"/>
      <c r="ED1248"/>
      <c r="EE1248"/>
      <c r="EF1248"/>
      <c r="EG1248"/>
      <c r="EH1248"/>
      <c r="EI1248"/>
      <c r="EJ1248"/>
      <c r="EK1248"/>
      <c r="EL1248"/>
      <c r="EM1248"/>
      <c r="EN1248"/>
      <c r="EO1248"/>
      <c r="EP1248"/>
      <c r="EQ1248"/>
      <c r="ER1248"/>
      <c r="ES1248"/>
      <c r="ET1248"/>
      <c r="EU1248"/>
      <c r="EV1248"/>
      <c r="EW1248"/>
      <c r="EX1248"/>
      <c r="EY1248"/>
      <c r="EZ1248"/>
      <c r="FA1248"/>
      <c r="FB1248"/>
      <c r="FC1248"/>
      <c r="FD1248"/>
      <c r="FE1248"/>
      <c r="FF1248"/>
      <c r="FG1248"/>
      <c r="FH1248"/>
      <c r="FI1248"/>
      <c r="FJ1248"/>
    </row>
    <row r="1249" spans="1:166" s="4" customFormat="1" x14ac:dyDescent="0.2">
      <c r="A1249" s="44"/>
      <c r="B1249" s="44"/>
      <c r="C1249" s="44"/>
      <c r="D1249" s="44"/>
      <c r="E1249" s="44"/>
      <c r="F1249" s="58"/>
      <c r="G1249" s="32"/>
      <c r="H1249" s="58"/>
      <c r="I1249" s="58"/>
      <c r="J1249" s="59"/>
      <c r="K1249" s="58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  <c r="DJ1249"/>
      <c r="DK1249"/>
      <c r="DL1249"/>
      <c r="DM1249"/>
      <c r="DN1249"/>
      <c r="DO1249"/>
      <c r="DP1249"/>
      <c r="DQ1249"/>
      <c r="DR1249"/>
      <c r="DS1249"/>
      <c r="DT1249"/>
      <c r="DU1249"/>
      <c r="DV1249"/>
      <c r="DW1249"/>
      <c r="DX1249"/>
      <c r="DY1249"/>
      <c r="DZ1249"/>
      <c r="EA1249"/>
      <c r="EB1249"/>
      <c r="EC1249"/>
      <c r="ED1249"/>
      <c r="EE1249"/>
      <c r="EF1249"/>
      <c r="EG1249"/>
      <c r="EH1249"/>
      <c r="EI1249"/>
      <c r="EJ1249"/>
      <c r="EK1249"/>
      <c r="EL1249"/>
      <c r="EM1249"/>
      <c r="EN1249"/>
      <c r="EO1249"/>
      <c r="EP1249"/>
      <c r="EQ1249"/>
      <c r="ER1249"/>
      <c r="ES1249"/>
      <c r="ET1249"/>
      <c r="EU1249"/>
      <c r="EV1249"/>
      <c r="EW1249"/>
      <c r="EX1249"/>
      <c r="EY1249"/>
      <c r="EZ1249"/>
      <c r="FA1249"/>
      <c r="FB1249"/>
      <c r="FC1249"/>
      <c r="FD1249"/>
      <c r="FE1249"/>
      <c r="FF1249"/>
      <c r="FG1249"/>
      <c r="FH1249"/>
      <c r="FI1249"/>
      <c r="FJ1249"/>
    </row>
    <row r="1250" spans="1:166" s="4" customFormat="1" x14ac:dyDescent="0.2">
      <c r="A1250" s="44"/>
      <c r="B1250" s="44"/>
      <c r="C1250" s="44"/>
      <c r="D1250" s="44"/>
      <c r="E1250" s="44"/>
      <c r="F1250" s="58"/>
      <c r="G1250" s="32"/>
      <c r="H1250" s="58"/>
      <c r="I1250" s="58"/>
      <c r="J1250" s="59"/>
      <c r="K1250" s="58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  <c r="DJ1250"/>
      <c r="DK1250"/>
      <c r="DL1250"/>
      <c r="DM1250"/>
      <c r="DN1250"/>
      <c r="DO1250"/>
      <c r="DP1250"/>
      <c r="DQ1250"/>
      <c r="DR1250"/>
      <c r="DS1250"/>
      <c r="DT1250"/>
      <c r="DU1250"/>
      <c r="DV1250"/>
      <c r="DW1250"/>
      <c r="DX1250"/>
      <c r="DY1250"/>
      <c r="DZ1250"/>
      <c r="EA1250"/>
      <c r="EB1250"/>
      <c r="EC1250"/>
      <c r="ED1250"/>
      <c r="EE1250"/>
      <c r="EF1250"/>
      <c r="EG1250"/>
      <c r="EH1250"/>
      <c r="EI1250"/>
      <c r="EJ1250"/>
      <c r="EK1250"/>
      <c r="EL1250"/>
      <c r="EM1250"/>
      <c r="EN1250"/>
      <c r="EO1250"/>
      <c r="EP1250"/>
      <c r="EQ1250"/>
      <c r="ER1250"/>
      <c r="ES1250"/>
      <c r="ET1250"/>
      <c r="EU1250"/>
      <c r="EV1250"/>
      <c r="EW1250"/>
      <c r="EX1250"/>
      <c r="EY1250"/>
      <c r="EZ1250"/>
      <c r="FA1250"/>
      <c r="FB1250"/>
      <c r="FC1250"/>
      <c r="FD1250"/>
      <c r="FE1250"/>
      <c r="FF1250"/>
      <c r="FG1250"/>
      <c r="FH1250"/>
      <c r="FI1250"/>
      <c r="FJ1250"/>
    </row>
    <row r="1251" spans="1:166" s="4" customFormat="1" x14ac:dyDescent="0.2">
      <c r="A1251" s="44"/>
      <c r="B1251" s="44"/>
      <c r="C1251" s="44"/>
      <c r="D1251" s="44"/>
      <c r="E1251" s="44"/>
      <c r="F1251" s="58"/>
      <c r="G1251" s="32"/>
      <c r="H1251" s="58"/>
      <c r="I1251" s="58"/>
      <c r="J1251" s="59"/>
      <c r="K1251" s="58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  <c r="DJ1251"/>
      <c r="DK1251"/>
      <c r="DL1251"/>
      <c r="DM1251"/>
      <c r="DN1251"/>
      <c r="DO1251"/>
      <c r="DP1251"/>
      <c r="DQ1251"/>
      <c r="DR1251"/>
      <c r="DS1251"/>
      <c r="DT1251"/>
      <c r="DU1251"/>
      <c r="DV1251"/>
      <c r="DW1251"/>
      <c r="DX1251"/>
      <c r="DY1251"/>
      <c r="DZ1251"/>
      <c r="EA1251"/>
      <c r="EB1251"/>
      <c r="EC1251"/>
      <c r="ED1251"/>
      <c r="EE1251"/>
      <c r="EF1251"/>
      <c r="EG1251"/>
      <c r="EH1251"/>
      <c r="EI1251"/>
      <c r="EJ1251"/>
      <c r="EK1251"/>
      <c r="EL1251"/>
      <c r="EM1251"/>
      <c r="EN1251"/>
      <c r="EO1251"/>
      <c r="EP1251"/>
      <c r="EQ1251"/>
      <c r="ER1251"/>
      <c r="ES1251"/>
      <c r="ET1251"/>
      <c r="EU1251"/>
      <c r="EV1251"/>
      <c r="EW1251"/>
      <c r="EX1251"/>
      <c r="EY1251"/>
      <c r="EZ1251"/>
      <c r="FA1251"/>
      <c r="FB1251"/>
      <c r="FC1251"/>
      <c r="FD1251"/>
      <c r="FE1251"/>
      <c r="FF1251"/>
      <c r="FG1251"/>
      <c r="FH1251"/>
      <c r="FI1251"/>
      <c r="FJ1251"/>
    </row>
    <row r="1252" spans="1:166" s="4" customFormat="1" x14ac:dyDescent="0.2">
      <c r="A1252" s="44"/>
      <c r="B1252" s="44"/>
      <c r="C1252" s="44"/>
      <c r="D1252" s="44"/>
      <c r="E1252" s="44"/>
      <c r="F1252" s="58"/>
      <c r="G1252" s="32"/>
      <c r="H1252" s="58"/>
      <c r="I1252" s="58"/>
      <c r="J1252" s="59"/>
      <c r="K1252" s="58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  <c r="DJ1252"/>
      <c r="DK1252"/>
      <c r="DL1252"/>
      <c r="DM1252"/>
      <c r="DN1252"/>
      <c r="DO1252"/>
      <c r="DP1252"/>
      <c r="DQ1252"/>
      <c r="DR1252"/>
      <c r="DS1252"/>
      <c r="DT1252"/>
      <c r="DU1252"/>
      <c r="DV1252"/>
      <c r="DW1252"/>
      <c r="DX1252"/>
      <c r="DY1252"/>
      <c r="DZ1252"/>
      <c r="EA1252"/>
      <c r="EB1252"/>
      <c r="EC1252"/>
      <c r="ED1252"/>
      <c r="EE1252"/>
      <c r="EF1252"/>
      <c r="EG1252"/>
      <c r="EH1252"/>
      <c r="EI1252"/>
      <c r="EJ1252"/>
      <c r="EK1252"/>
      <c r="EL1252"/>
      <c r="EM1252"/>
      <c r="EN1252"/>
      <c r="EO1252"/>
      <c r="EP1252"/>
      <c r="EQ1252"/>
      <c r="ER1252"/>
      <c r="ES1252"/>
      <c r="ET1252"/>
      <c r="EU1252"/>
      <c r="EV1252"/>
      <c r="EW1252"/>
      <c r="EX1252"/>
      <c r="EY1252"/>
      <c r="EZ1252"/>
      <c r="FA1252"/>
      <c r="FB1252"/>
      <c r="FC1252"/>
      <c r="FD1252"/>
      <c r="FE1252"/>
      <c r="FF1252"/>
      <c r="FG1252"/>
      <c r="FH1252"/>
      <c r="FI1252"/>
      <c r="FJ1252"/>
    </row>
    <row r="1253" spans="1:166" s="4" customFormat="1" x14ac:dyDescent="0.2">
      <c r="A1253" s="44"/>
      <c r="B1253" s="44"/>
      <c r="C1253" s="44"/>
      <c r="D1253" s="44"/>
      <c r="E1253" s="44"/>
      <c r="F1253" s="58"/>
      <c r="G1253" s="32"/>
      <c r="H1253" s="58"/>
      <c r="I1253" s="58"/>
      <c r="J1253" s="59"/>
      <c r="K1253" s="58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  <c r="DJ1253"/>
      <c r="DK1253"/>
      <c r="DL1253"/>
      <c r="DM1253"/>
      <c r="DN1253"/>
      <c r="DO1253"/>
      <c r="DP1253"/>
      <c r="DQ1253"/>
      <c r="DR1253"/>
      <c r="DS1253"/>
      <c r="DT1253"/>
      <c r="DU1253"/>
      <c r="DV1253"/>
      <c r="DW1253"/>
      <c r="DX1253"/>
      <c r="DY1253"/>
      <c r="DZ1253"/>
      <c r="EA1253"/>
      <c r="EB1253"/>
      <c r="EC1253"/>
      <c r="ED1253"/>
      <c r="EE1253"/>
      <c r="EF1253"/>
      <c r="EG1253"/>
      <c r="EH1253"/>
      <c r="EI1253"/>
      <c r="EJ1253"/>
      <c r="EK1253"/>
      <c r="EL1253"/>
      <c r="EM1253"/>
      <c r="EN1253"/>
      <c r="EO1253"/>
      <c r="EP1253"/>
      <c r="EQ1253"/>
      <c r="ER1253"/>
      <c r="ES1253"/>
      <c r="ET1253"/>
      <c r="EU1253"/>
      <c r="EV1253"/>
      <c r="EW1253"/>
      <c r="EX1253"/>
      <c r="EY1253"/>
      <c r="EZ1253"/>
      <c r="FA1253"/>
      <c r="FB1253"/>
      <c r="FC1253"/>
      <c r="FD1253"/>
      <c r="FE1253"/>
      <c r="FF1253"/>
      <c r="FG1253"/>
      <c r="FH1253"/>
      <c r="FI1253"/>
      <c r="FJ1253"/>
    </row>
    <row r="1254" spans="1:166" s="4" customFormat="1" x14ac:dyDescent="0.2">
      <c r="A1254" s="44"/>
      <c r="B1254" s="44"/>
      <c r="C1254" s="44"/>
      <c r="D1254" s="44"/>
      <c r="E1254" s="44"/>
      <c r="F1254" s="58"/>
      <c r="G1254" s="32"/>
      <c r="H1254" s="58"/>
      <c r="I1254" s="58"/>
      <c r="J1254" s="59"/>
      <c r="K1254" s="58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  <c r="DJ1254"/>
      <c r="DK1254"/>
      <c r="DL1254"/>
      <c r="DM1254"/>
      <c r="DN1254"/>
      <c r="DO1254"/>
      <c r="DP1254"/>
      <c r="DQ1254"/>
      <c r="DR1254"/>
      <c r="DS1254"/>
      <c r="DT1254"/>
      <c r="DU1254"/>
      <c r="DV1254"/>
      <c r="DW1254"/>
      <c r="DX1254"/>
      <c r="DY1254"/>
      <c r="DZ1254"/>
      <c r="EA1254"/>
      <c r="EB1254"/>
      <c r="EC1254"/>
      <c r="ED1254"/>
      <c r="EE1254"/>
      <c r="EF1254"/>
      <c r="EG1254"/>
      <c r="EH1254"/>
      <c r="EI1254"/>
      <c r="EJ1254"/>
      <c r="EK1254"/>
      <c r="EL1254"/>
      <c r="EM1254"/>
      <c r="EN1254"/>
      <c r="EO1254"/>
      <c r="EP1254"/>
      <c r="EQ1254"/>
      <c r="ER1254"/>
      <c r="ES1254"/>
      <c r="ET1254"/>
      <c r="EU1254"/>
      <c r="EV1254"/>
      <c r="EW1254"/>
      <c r="EX1254"/>
      <c r="EY1254"/>
      <c r="EZ1254"/>
      <c r="FA1254"/>
      <c r="FB1254"/>
      <c r="FC1254"/>
      <c r="FD1254"/>
      <c r="FE1254"/>
      <c r="FF1254"/>
      <c r="FG1254"/>
      <c r="FH1254"/>
      <c r="FI1254"/>
      <c r="FJ1254"/>
    </row>
    <row r="1255" spans="1:166" s="4" customFormat="1" x14ac:dyDescent="0.2">
      <c r="A1255" s="44"/>
      <c r="B1255" s="44"/>
      <c r="C1255" s="44"/>
      <c r="D1255" s="44"/>
      <c r="E1255" s="44"/>
      <c r="F1255" s="58"/>
      <c r="G1255" s="32"/>
      <c r="H1255" s="58"/>
      <c r="I1255" s="58"/>
      <c r="J1255" s="59"/>
      <c r="K1255" s="58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  <c r="DJ1255"/>
      <c r="DK1255"/>
      <c r="DL1255"/>
      <c r="DM1255"/>
      <c r="DN1255"/>
      <c r="DO1255"/>
      <c r="DP1255"/>
      <c r="DQ1255"/>
      <c r="DR1255"/>
      <c r="DS1255"/>
      <c r="DT1255"/>
      <c r="DU1255"/>
      <c r="DV1255"/>
      <c r="DW1255"/>
      <c r="DX1255"/>
      <c r="DY1255"/>
      <c r="DZ1255"/>
      <c r="EA1255"/>
      <c r="EB1255"/>
      <c r="EC1255"/>
      <c r="ED1255"/>
      <c r="EE1255"/>
      <c r="EF1255"/>
      <c r="EG1255"/>
      <c r="EH1255"/>
      <c r="EI1255"/>
      <c r="EJ1255"/>
      <c r="EK1255"/>
      <c r="EL1255"/>
      <c r="EM1255"/>
      <c r="EN1255"/>
      <c r="EO1255"/>
      <c r="EP1255"/>
      <c r="EQ1255"/>
      <c r="ER1255"/>
      <c r="ES1255"/>
      <c r="ET1255"/>
      <c r="EU1255"/>
      <c r="EV1255"/>
      <c r="EW1255"/>
      <c r="EX1255"/>
      <c r="EY1255"/>
      <c r="EZ1255"/>
      <c r="FA1255"/>
      <c r="FB1255"/>
      <c r="FC1255"/>
      <c r="FD1255"/>
      <c r="FE1255"/>
      <c r="FF1255"/>
      <c r="FG1255"/>
      <c r="FH1255"/>
      <c r="FI1255"/>
      <c r="FJ1255"/>
    </row>
    <row r="1256" spans="1:166" s="4" customFormat="1" x14ac:dyDescent="0.2">
      <c r="A1256" s="44"/>
      <c r="B1256" s="44"/>
      <c r="C1256" s="44"/>
      <c r="D1256" s="44"/>
      <c r="E1256" s="44"/>
      <c r="F1256" s="58"/>
      <c r="G1256" s="32"/>
      <c r="H1256" s="58"/>
      <c r="I1256" s="58"/>
      <c r="J1256" s="59"/>
      <c r="K1256" s="58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  <c r="DJ1256"/>
      <c r="DK1256"/>
      <c r="DL1256"/>
      <c r="DM1256"/>
      <c r="DN1256"/>
      <c r="DO1256"/>
      <c r="DP1256"/>
      <c r="DQ1256"/>
      <c r="DR1256"/>
      <c r="DS1256"/>
      <c r="DT1256"/>
      <c r="DU1256"/>
      <c r="DV1256"/>
      <c r="DW1256"/>
      <c r="DX1256"/>
      <c r="DY1256"/>
      <c r="DZ1256"/>
      <c r="EA1256"/>
      <c r="EB1256"/>
      <c r="EC1256"/>
      <c r="ED1256"/>
      <c r="EE1256"/>
      <c r="EF1256"/>
      <c r="EG1256"/>
      <c r="EH1256"/>
      <c r="EI1256"/>
      <c r="EJ1256"/>
      <c r="EK1256"/>
      <c r="EL1256"/>
      <c r="EM1256"/>
      <c r="EN1256"/>
      <c r="EO1256"/>
      <c r="EP1256"/>
      <c r="EQ1256"/>
      <c r="ER1256"/>
      <c r="ES1256"/>
      <c r="ET1256"/>
      <c r="EU1256"/>
      <c r="EV1256"/>
      <c r="EW1256"/>
      <c r="EX1256"/>
      <c r="EY1256"/>
      <c r="EZ1256"/>
      <c r="FA1256"/>
      <c r="FB1256"/>
      <c r="FC1256"/>
      <c r="FD1256"/>
      <c r="FE1256"/>
      <c r="FF1256"/>
      <c r="FG1256"/>
      <c r="FH1256"/>
      <c r="FI1256"/>
      <c r="FJ1256"/>
    </row>
    <row r="1257" spans="1:166" s="4" customFormat="1" x14ac:dyDescent="0.2">
      <c r="A1257" s="44"/>
      <c r="B1257" s="44"/>
      <c r="C1257" s="44"/>
      <c r="D1257" s="44"/>
      <c r="E1257" s="44"/>
      <c r="F1257" s="58"/>
      <c r="G1257" s="32"/>
      <c r="H1257" s="58"/>
      <c r="I1257" s="58"/>
      <c r="J1257" s="59"/>
      <c r="K1257" s="58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  <c r="DJ1257"/>
      <c r="DK1257"/>
      <c r="DL1257"/>
      <c r="DM1257"/>
      <c r="DN1257"/>
      <c r="DO1257"/>
      <c r="DP1257"/>
      <c r="DQ1257"/>
      <c r="DR1257"/>
      <c r="DS1257"/>
      <c r="DT1257"/>
      <c r="DU1257"/>
      <c r="DV1257"/>
      <c r="DW1257"/>
      <c r="DX1257"/>
      <c r="DY1257"/>
      <c r="DZ1257"/>
      <c r="EA1257"/>
      <c r="EB1257"/>
      <c r="EC1257"/>
      <c r="ED1257"/>
      <c r="EE1257"/>
      <c r="EF1257"/>
      <c r="EG1257"/>
      <c r="EH1257"/>
      <c r="EI1257"/>
      <c r="EJ1257"/>
      <c r="EK1257"/>
      <c r="EL1257"/>
      <c r="EM1257"/>
      <c r="EN1257"/>
      <c r="EO1257"/>
      <c r="EP1257"/>
      <c r="EQ1257"/>
      <c r="ER1257"/>
      <c r="ES1257"/>
      <c r="ET1257"/>
      <c r="EU1257"/>
      <c r="EV1257"/>
      <c r="EW1257"/>
      <c r="EX1257"/>
      <c r="EY1257"/>
      <c r="EZ1257"/>
      <c r="FA1257"/>
      <c r="FB1257"/>
      <c r="FC1257"/>
      <c r="FD1257"/>
      <c r="FE1257"/>
      <c r="FF1257"/>
      <c r="FG1257"/>
      <c r="FH1257"/>
      <c r="FI1257"/>
      <c r="FJ1257"/>
    </row>
    <row r="1258" spans="1:166" s="4" customFormat="1" x14ac:dyDescent="0.2">
      <c r="A1258" s="44"/>
      <c r="B1258" s="44"/>
      <c r="C1258" s="44"/>
      <c r="D1258" s="44"/>
      <c r="E1258" s="44"/>
      <c r="F1258" s="58"/>
      <c r="G1258" s="32"/>
      <c r="H1258" s="58"/>
      <c r="I1258" s="58"/>
      <c r="J1258" s="59"/>
      <c r="K1258" s="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  <c r="DJ1258"/>
      <c r="DK1258"/>
      <c r="DL1258"/>
      <c r="DM1258"/>
      <c r="DN1258"/>
      <c r="DO1258"/>
      <c r="DP1258"/>
      <c r="DQ1258"/>
      <c r="DR1258"/>
      <c r="DS1258"/>
      <c r="DT1258"/>
      <c r="DU1258"/>
      <c r="DV1258"/>
      <c r="DW1258"/>
      <c r="DX1258"/>
      <c r="DY1258"/>
      <c r="DZ1258"/>
      <c r="EA1258"/>
      <c r="EB1258"/>
      <c r="EC1258"/>
      <c r="ED1258"/>
      <c r="EE1258"/>
      <c r="EF1258"/>
      <c r="EG1258"/>
      <c r="EH1258"/>
      <c r="EI1258"/>
      <c r="EJ1258"/>
      <c r="EK1258"/>
      <c r="EL1258"/>
      <c r="EM1258"/>
      <c r="EN1258"/>
      <c r="EO1258"/>
      <c r="EP1258"/>
      <c r="EQ1258"/>
      <c r="ER1258"/>
      <c r="ES1258"/>
      <c r="ET1258"/>
      <c r="EU1258"/>
      <c r="EV1258"/>
      <c r="EW1258"/>
      <c r="EX1258"/>
      <c r="EY1258"/>
      <c r="EZ1258"/>
      <c r="FA1258"/>
      <c r="FB1258"/>
      <c r="FC1258"/>
      <c r="FD1258"/>
      <c r="FE1258"/>
      <c r="FF1258"/>
      <c r="FG1258"/>
      <c r="FH1258"/>
      <c r="FI1258"/>
      <c r="FJ1258"/>
    </row>
    <row r="1259" spans="1:166" s="4" customFormat="1" x14ac:dyDescent="0.2">
      <c r="A1259" s="44"/>
      <c r="B1259" s="44"/>
      <c r="C1259" s="44"/>
      <c r="D1259" s="44"/>
      <c r="E1259" s="44"/>
      <c r="F1259" s="58"/>
      <c r="G1259" s="32"/>
      <c r="H1259" s="58"/>
      <c r="I1259" s="58"/>
      <c r="J1259" s="59"/>
      <c r="K1259" s="58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  <c r="DJ1259"/>
      <c r="DK1259"/>
      <c r="DL1259"/>
      <c r="DM1259"/>
      <c r="DN1259"/>
      <c r="DO1259"/>
      <c r="DP1259"/>
      <c r="DQ1259"/>
      <c r="DR1259"/>
      <c r="DS1259"/>
      <c r="DT1259"/>
      <c r="DU1259"/>
      <c r="DV1259"/>
      <c r="DW1259"/>
      <c r="DX1259"/>
      <c r="DY1259"/>
      <c r="DZ1259"/>
      <c r="EA1259"/>
      <c r="EB1259"/>
      <c r="EC1259"/>
      <c r="ED1259"/>
      <c r="EE1259"/>
      <c r="EF1259"/>
      <c r="EG1259"/>
      <c r="EH1259"/>
      <c r="EI1259"/>
      <c r="EJ1259"/>
      <c r="EK1259"/>
      <c r="EL1259"/>
      <c r="EM1259"/>
      <c r="EN1259"/>
      <c r="EO1259"/>
      <c r="EP1259"/>
      <c r="EQ1259"/>
      <c r="ER1259"/>
      <c r="ES1259"/>
      <c r="ET1259"/>
      <c r="EU1259"/>
      <c r="EV1259"/>
      <c r="EW1259"/>
      <c r="EX1259"/>
      <c r="EY1259"/>
      <c r="EZ1259"/>
      <c r="FA1259"/>
      <c r="FB1259"/>
      <c r="FC1259"/>
      <c r="FD1259"/>
      <c r="FE1259"/>
      <c r="FF1259"/>
      <c r="FG1259"/>
      <c r="FH1259"/>
      <c r="FI1259"/>
      <c r="FJ1259"/>
    </row>
    <row r="1260" spans="1:166" s="4" customFormat="1" x14ac:dyDescent="0.2">
      <c r="A1260" s="44"/>
      <c r="B1260" s="44"/>
      <c r="C1260" s="44"/>
      <c r="D1260" s="44"/>
      <c r="E1260" s="44"/>
      <c r="F1260" s="58"/>
      <c r="G1260" s="32"/>
      <c r="H1260" s="58"/>
      <c r="I1260" s="58"/>
      <c r="J1260" s="59"/>
      <c r="K1260" s="58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  <c r="DJ1260"/>
      <c r="DK1260"/>
      <c r="DL1260"/>
      <c r="DM1260"/>
      <c r="DN1260"/>
      <c r="DO1260"/>
      <c r="DP1260"/>
      <c r="DQ1260"/>
      <c r="DR1260"/>
      <c r="DS1260"/>
      <c r="DT1260"/>
      <c r="DU1260"/>
      <c r="DV1260"/>
      <c r="DW1260"/>
      <c r="DX1260"/>
      <c r="DY1260"/>
      <c r="DZ1260"/>
      <c r="EA1260"/>
      <c r="EB1260"/>
      <c r="EC1260"/>
      <c r="ED1260"/>
      <c r="EE1260"/>
      <c r="EF1260"/>
      <c r="EG1260"/>
      <c r="EH1260"/>
      <c r="EI1260"/>
      <c r="EJ1260"/>
      <c r="EK1260"/>
      <c r="EL1260"/>
      <c r="EM1260"/>
      <c r="EN1260"/>
      <c r="EO1260"/>
      <c r="EP1260"/>
      <c r="EQ1260"/>
      <c r="ER1260"/>
      <c r="ES1260"/>
      <c r="ET1260"/>
      <c r="EU1260"/>
      <c r="EV1260"/>
      <c r="EW1260"/>
      <c r="EX1260"/>
      <c r="EY1260"/>
      <c r="EZ1260"/>
      <c r="FA1260"/>
      <c r="FB1260"/>
      <c r="FC1260"/>
      <c r="FD1260"/>
      <c r="FE1260"/>
      <c r="FF1260"/>
      <c r="FG1260"/>
      <c r="FH1260"/>
      <c r="FI1260"/>
      <c r="FJ1260"/>
    </row>
    <row r="1261" spans="1:166" s="4" customFormat="1" x14ac:dyDescent="0.2">
      <c r="A1261" s="44"/>
      <c r="B1261" s="44"/>
      <c r="C1261" s="44"/>
      <c r="D1261" s="44"/>
      <c r="E1261" s="44"/>
      <c r="F1261" s="58"/>
      <c r="G1261" s="32"/>
      <c r="H1261" s="58"/>
      <c r="I1261" s="58"/>
      <c r="J1261" s="59"/>
      <c r="K1261" s="58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  <c r="DJ1261"/>
      <c r="DK1261"/>
      <c r="DL1261"/>
      <c r="DM1261"/>
      <c r="DN1261"/>
      <c r="DO1261"/>
      <c r="DP1261"/>
      <c r="DQ1261"/>
      <c r="DR1261"/>
      <c r="DS1261"/>
      <c r="DT1261"/>
      <c r="DU1261"/>
      <c r="DV1261"/>
      <c r="DW1261"/>
      <c r="DX1261"/>
      <c r="DY1261"/>
      <c r="DZ1261"/>
      <c r="EA1261"/>
      <c r="EB1261"/>
      <c r="EC1261"/>
      <c r="ED1261"/>
      <c r="EE1261"/>
      <c r="EF1261"/>
      <c r="EG1261"/>
      <c r="EH1261"/>
      <c r="EI1261"/>
      <c r="EJ1261"/>
      <c r="EK1261"/>
      <c r="EL1261"/>
      <c r="EM1261"/>
      <c r="EN1261"/>
      <c r="EO1261"/>
      <c r="EP1261"/>
      <c r="EQ1261"/>
      <c r="ER1261"/>
      <c r="ES1261"/>
      <c r="ET1261"/>
      <c r="EU1261"/>
      <c r="EV1261"/>
      <c r="EW1261"/>
      <c r="EX1261"/>
      <c r="EY1261"/>
      <c r="EZ1261"/>
      <c r="FA1261"/>
      <c r="FB1261"/>
      <c r="FC1261"/>
      <c r="FD1261"/>
      <c r="FE1261"/>
      <c r="FF1261"/>
      <c r="FG1261"/>
      <c r="FH1261"/>
      <c r="FI1261"/>
      <c r="FJ1261"/>
    </row>
    <row r="1262" spans="1:166" s="4" customFormat="1" x14ac:dyDescent="0.2">
      <c r="A1262" s="44"/>
      <c r="B1262" s="44"/>
      <c r="C1262" s="44"/>
      <c r="D1262" s="44"/>
      <c r="E1262" s="44"/>
      <c r="F1262" s="58"/>
      <c r="G1262" s="32"/>
      <c r="H1262" s="58"/>
      <c r="I1262" s="58"/>
      <c r="J1262" s="59"/>
      <c r="K1262" s="58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  <c r="DJ1262"/>
      <c r="DK1262"/>
      <c r="DL1262"/>
      <c r="DM1262"/>
      <c r="DN1262"/>
      <c r="DO1262"/>
      <c r="DP1262"/>
      <c r="DQ1262"/>
      <c r="DR1262"/>
      <c r="DS1262"/>
      <c r="DT1262"/>
      <c r="DU1262"/>
      <c r="DV1262"/>
      <c r="DW1262"/>
      <c r="DX1262"/>
      <c r="DY1262"/>
      <c r="DZ1262"/>
      <c r="EA1262"/>
      <c r="EB1262"/>
      <c r="EC1262"/>
      <c r="ED1262"/>
      <c r="EE1262"/>
      <c r="EF1262"/>
      <c r="EG1262"/>
      <c r="EH1262"/>
      <c r="EI1262"/>
      <c r="EJ1262"/>
      <c r="EK1262"/>
      <c r="EL1262"/>
      <c r="EM1262"/>
      <c r="EN1262"/>
      <c r="EO1262"/>
      <c r="EP1262"/>
      <c r="EQ1262"/>
      <c r="ER1262"/>
      <c r="ES1262"/>
      <c r="ET1262"/>
      <c r="EU1262"/>
      <c r="EV1262"/>
      <c r="EW1262"/>
      <c r="EX1262"/>
      <c r="EY1262"/>
      <c r="EZ1262"/>
      <c r="FA1262"/>
      <c r="FB1262"/>
      <c r="FC1262"/>
      <c r="FD1262"/>
      <c r="FE1262"/>
      <c r="FF1262"/>
      <c r="FG1262"/>
      <c r="FH1262"/>
      <c r="FI1262"/>
      <c r="FJ1262"/>
    </row>
    <row r="1263" spans="1:166" s="4" customFormat="1" x14ac:dyDescent="0.2">
      <c r="A1263" s="44"/>
      <c r="B1263" s="44"/>
      <c r="C1263" s="44"/>
      <c r="D1263" s="44"/>
      <c r="E1263" s="44"/>
      <c r="F1263" s="58"/>
      <c r="G1263" s="32"/>
      <c r="H1263" s="58"/>
      <c r="I1263" s="58"/>
      <c r="J1263" s="59"/>
      <c r="K1263" s="58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  <c r="DJ1263"/>
      <c r="DK1263"/>
      <c r="DL1263"/>
      <c r="DM1263"/>
      <c r="DN1263"/>
      <c r="DO1263"/>
      <c r="DP1263"/>
      <c r="DQ1263"/>
      <c r="DR1263"/>
      <c r="DS1263"/>
      <c r="DT1263"/>
      <c r="DU1263"/>
      <c r="DV1263"/>
      <c r="DW1263"/>
      <c r="DX1263"/>
      <c r="DY1263"/>
      <c r="DZ1263"/>
      <c r="EA1263"/>
      <c r="EB1263"/>
      <c r="EC1263"/>
      <c r="ED1263"/>
      <c r="EE1263"/>
      <c r="EF1263"/>
      <c r="EG1263"/>
      <c r="EH1263"/>
      <c r="EI1263"/>
      <c r="EJ1263"/>
      <c r="EK1263"/>
      <c r="EL1263"/>
      <c r="EM1263"/>
      <c r="EN1263"/>
      <c r="EO1263"/>
      <c r="EP1263"/>
      <c r="EQ1263"/>
      <c r="ER1263"/>
      <c r="ES1263"/>
      <c r="ET1263"/>
      <c r="EU1263"/>
      <c r="EV1263"/>
      <c r="EW1263"/>
      <c r="EX1263"/>
      <c r="EY1263"/>
      <c r="EZ1263"/>
      <c r="FA1263"/>
      <c r="FB1263"/>
      <c r="FC1263"/>
      <c r="FD1263"/>
      <c r="FE1263"/>
      <c r="FF1263"/>
      <c r="FG1263"/>
      <c r="FH1263"/>
      <c r="FI1263"/>
      <c r="FJ1263"/>
    </row>
    <row r="1264" spans="1:166" s="4" customFormat="1" x14ac:dyDescent="0.2">
      <c r="A1264" s="44"/>
      <c r="B1264" s="44"/>
      <c r="C1264" s="44"/>
      <c r="D1264" s="44"/>
      <c r="E1264" s="44"/>
      <c r="F1264" s="58"/>
      <c r="G1264" s="32"/>
      <c r="H1264" s="58"/>
      <c r="I1264" s="58"/>
      <c r="J1264" s="59"/>
      <c r="K1264" s="58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  <c r="DJ1264"/>
      <c r="DK1264"/>
      <c r="DL1264"/>
      <c r="DM1264"/>
      <c r="DN1264"/>
      <c r="DO1264"/>
      <c r="DP1264"/>
      <c r="DQ1264"/>
      <c r="DR1264"/>
      <c r="DS1264"/>
      <c r="DT1264"/>
      <c r="DU1264"/>
      <c r="DV1264"/>
      <c r="DW1264"/>
      <c r="DX1264"/>
      <c r="DY1264"/>
      <c r="DZ1264"/>
      <c r="EA1264"/>
      <c r="EB1264"/>
      <c r="EC1264"/>
      <c r="ED1264"/>
      <c r="EE1264"/>
      <c r="EF1264"/>
      <c r="EG1264"/>
      <c r="EH1264"/>
      <c r="EI1264"/>
      <c r="EJ1264"/>
      <c r="EK1264"/>
      <c r="EL1264"/>
      <c r="EM1264"/>
      <c r="EN1264"/>
      <c r="EO1264"/>
      <c r="EP1264"/>
      <c r="EQ1264"/>
      <c r="ER1264"/>
      <c r="ES1264"/>
      <c r="ET1264"/>
      <c r="EU1264"/>
      <c r="EV1264"/>
      <c r="EW1264"/>
      <c r="EX1264"/>
      <c r="EY1264"/>
      <c r="EZ1264"/>
      <c r="FA1264"/>
      <c r="FB1264"/>
      <c r="FC1264"/>
      <c r="FD1264"/>
      <c r="FE1264"/>
      <c r="FF1264"/>
      <c r="FG1264"/>
      <c r="FH1264"/>
      <c r="FI1264"/>
      <c r="FJ1264"/>
    </row>
    <row r="1265" spans="1:166" s="4" customFormat="1" x14ac:dyDescent="0.2">
      <c r="A1265" s="44"/>
      <c r="B1265" s="44"/>
      <c r="C1265" s="44"/>
      <c r="D1265" s="44"/>
      <c r="E1265" s="44"/>
      <c r="F1265" s="58"/>
      <c r="G1265" s="32"/>
      <c r="H1265" s="58"/>
      <c r="I1265" s="58"/>
      <c r="J1265" s="59"/>
      <c r="K1265" s="58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  <c r="DJ1265"/>
      <c r="DK1265"/>
      <c r="DL1265"/>
      <c r="DM1265"/>
      <c r="DN1265"/>
      <c r="DO1265"/>
      <c r="DP1265"/>
      <c r="DQ1265"/>
      <c r="DR1265"/>
      <c r="DS1265"/>
      <c r="DT1265"/>
      <c r="DU1265"/>
      <c r="DV1265"/>
      <c r="DW1265"/>
      <c r="DX1265"/>
      <c r="DY1265"/>
      <c r="DZ1265"/>
      <c r="EA1265"/>
      <c r="EB1265"/>
      <c r="EC1265"/>
      <c r="ED1265"/>
      <c r="EE1265"/>
      <c r="EF1265"/>
      <c r="EG1265"/>
      <c r="EH1265"/>
      <c r="EI1265"/>
      <c r="EJ1265"/>
      <c r="EK1265"/>
      <c r="EL1265"/>
      <c r="EM1265"/>
      <c r="EN1265"/>
      <c r="EO1265"/>
      <c r="EP1265"/>
      <c r="EQ1265"/>
      <c r="ER1265"/>
      <c r="ES1265"/>
      <c r="ET1265"/>
      <c r="EU1265"/>
      <c r="EV1265"/>
      <c r="EW1265"/>
      <c r="EX1265"/>
      <c r="EY1265"/>
      <c r="EZ1265"/>
      <c r="FA1265"/>
      <c r="FB1265"/>
      <c r="FC1265"/>
      <c r="FD1265"/>
      <c r="FE1265"/>
      <c r="FF1265"/>
      <c r="FG1265"/>
      <c r="FH1265"/>
      <c r="FI1265"/>
      <c r="FJ1265"/>
    </row>
    <row r="1266" spans="1:166" s="4" customFormat="1" x14ac:dyDescent="0.2">
      <c r="A1266" s="44"/>
      <c r="B1266" s="44"/>
      <c r="C1266" s="44"/>
      <c r="D1266" s="44"/>
      <c r="E1266" s="44"/>
      <c r="F1266" s="58"/>
      <c r="G1266" s="32"/>
      <c r="H1266" s="58"/>
      <c r="I1266" s="58"/>
      <c r="J1266" s="59"/>
      <c r="K1266" s="58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  <c r="DJ1266"/>
      <c r="DK1266"/>
      <c r="DL1266"/>
      <c r="DM1266"/>
      <c r="DN1266"/>
      <c r="DO1266"/>
      <c r="DP1266"/>
      <c r="DQ1266"/>
      <c r="DR1266"/>
      <c r="DS1266"/>
      <c r="DT1266"/>
      <c r="DU1266"/>
      <c r="DV1266"/>
      <c r="DW1266"/>
      <c r="DX1266"/>
      <c r="DY1266"/>
      <c r="DZ1266"/>
      <c r="EA1266"/>
      <c r="EB1266"/>
      <c r="EC1266"/>
      <c r="ED1266"/>
      <c r="EE1266"/>
      <c r="EF1266"/>
      <c r="EG1266"/>
      <c r="EH1266"/>
      <c r="EI1266"/>
      <c r="EJ1266"/>
      <c r="EK1266"/>
      <c r="EL1266"/>
      <c r="EM1266"/>
      <c r="EN1266"/>
      <c r="EO1266"/>
      <c r="EP1266"/>
      <c r="EQ1266"/>
      <c r="ER1266"/>
      <c r="ES1266"/>
      <c r="ET1266"/>
      <c r="EU1266"/>
      <c r="EV1266"/>
      <c r="EW1266"/>
      <c r="EX1266"/>
      <c r="EY1266"/>
      <c r="EZ1266"/>
      <c r="FA1266"/>
      <c r="FB1266"/>
      <c r="FC1266"/>
      <c r="FD1266"/>
      <c r="FE1266"/>
      <c r="FF1266"/>
      <c r="FG1266"/>
      <c r="FH1266"/>
      <c r="FI1266"/>
      <c r="FJ1266"/>
    </row>
    <row r="1267" spans="1:166" s="4" customFormat="1" x14ac:dyDescent="0.2">
      <c r="A1267" s="44"/>
      <c r="B1267" s="44"/>
      <c r="C1267" s="44"/>
      <c r="D1267" s="44"/>
      <c r="E1267" s="44"/>
      <c r="F1267" s="58"/>
      <c r="G1267" s="32"/>
      <c r="H1267" s="58"/>
      <c r="I1267" s="58"/>
      <c r="J1267" s="59"/>
      <c r="K1267" s="58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  <c r="DJ1267"/>
      <c r="DK1267"/>
      <c r="DL1267"/>
      <c r="DM1267"/>
      <c r="DN1267"/>
      <c r="DO1267"/>
      <c r="DP1267"/>
      <c r="DQ1267"/>
      <c r="DR1267"/>
      <c r="DS1267"/>
      <c r="DT1267"/>
      <c r="DU1267"/>
      <c r="DV1267"/>
      <c r="DW1267"/>
      <c r="DX1267"/>
      <c r="DY1267"/>
      <c r="DZ1267"/>
      <c r="EA1267"/>
      <c r="EB1267"/>
      <c r="EC1267"/>
      <c r="ED1267"/>
      <c r="EE1267"/>
      <c r="EF1267"/>
      <c r="EG1267"/>
      <c r="EH1267"/>
      <c r="EI1267"/>
      <c r="EJ1267"/>
      <c r="EK1267"/>
      <c r="EL1267"/>
      <c r="EM1267"/>
      <c r="EN1267"/>
      <c r="EO1267"/>
      <c r="EP1267"/>
      <c r="EQ1267"/>
      <c r="ER1267"/>
      <c r="ES1267"/>
      <c r="ET1267"/>
      <c r="EU1267"/>
      <c r="EV1267"/>
      <c r="EW1267"/>
      <c r="EX1267"/>
      <c r="EY1267"/>
      <c r="EZ1267"/>
      <c r="FA1267"/>
      <c r="FB1267"/>
      <c r="FC1267"/>
      <c r="FD1267"/>
      <c r="FE1267"/>
      <c r="FF1267"/>
      <c r="FG1267"/>
      <c r="FH1267"/>
      <c r="FI1267"/>
      <c r="FJ1267"/>
    </row>
    <row r="1268" spans="1:166" s="4" customFormat="1" x14ac:dyDescent="0.2">
      <c r="A1268" s="44"/>
      <c r="B1268" s="44"/>
      <c r="C1268" s="44"/>
      <c r="D1268" s="44"/>
      <c r="E1268" s="44"/>
      <c r="F1268" s="58"/>
      <c r="G1268" s="32"/>
      <c r="H1268" s="58"/>
      <c r="I1268" s="58"/>
      <c r="J1268" s="59"/>
      <c r="K1268" s="5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  <c r="DJ1268"/>
      <c r="DK1268"/>
      <c r="DL1268"/>
      <c r="DM1268"/>
      <c r="DN1268"/>
      <c r="DO1268"/>
      <c r="DP1268"/>
      <c r="DQ1268"/>
      <c r="DR1268"/>
      <c r="DS1268"/>
      <c r="DT1268"/>
      <c r="DU1268"/>
      <c r="DV1268"/>
      <c r="DW1268"/>
      <c r="DX1268"/>
      <c r="DY1268"/>
      <c r="DZ1268"/>
      <c r="EA1268"/>
      <c r="EB1268"/>
      <c r="EC1268"/>
      <c r="ED1268"/>
      <c r="EE1268"/>
      <c r="EF1268"/>
      <c r="EG1268"/>
      <c r="EH1268"/>
      <c r="EI1268"/>
      <c r="EJ1268"/>
      <c r="EK1268"/>
      <c r="EL1268"/>
      <c r="EM1268"/>
      <c r="EN1268"/>
      <c r="EO1268"/>
      <c r="EP1268"/>
      <c r="EQ1268"/>
      <c r="ER1268"/>
      <c r="ES1268"/>
      <c r="ET1268"/>
      <c r="EU1268"/>
      <c r="EV1268"/>
      <c r="EW1268"/>
      <c r="EX1268"/>
      <c r="EY1268"/>
      <c r="EZ1268"/>
      <c r="FA1268"/>
      <c r="FB1268"/>
      <c r="FC1268"/>
      <c r="FD1268"/>
      <c r="FE1268"/>
      <c r="FF1268"/>
      <c r="FG1268"/>
      <c r="FH1268"/>
      <c r="FI1268"/>
      <c r="FJ1268"/>
    </row>
    <row r="1269" spans="1:166" s="4" customFormat="1" x14ac:dyDescent="0.2">
      <c r="A1269" s="44"/>
      <c r="B1269" s="44"/>
      <c r="C1269" s="44"/>
      <c r="D1269" s="44"/>
      <c r="E1269" s="44"/>
      <c r="F1269" s="58"/>
      <c r="G1269" s="32"/>
      <c r="H1269" s="58"/>
      <c r="I1269" s="58"/>
      <c r="J1269" s="59"/>
      <c r="K1269" s="58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  <c r="DJ1269"/>
      <c r="DK1269"/>
      <c r="DL1269"/>
      <c r="DM1269"/>
      <c r="DN1269"/>
      <c r="DO1269"/>
      <c r="DP1269"/>
      <c r="DQ1269"/>
      <c r="DR1269"/>
      <c r="DS1269"/>
      <c r="DT1269"/>
      <c r="DU1269"/>
      <c r="DV1269"/>
      <c r="DW1269"/>
      <c r="DX1269"/>
      <c r="DY1269"/>
      <c r="DZ1269"/>
      <c r="EA1269"/>
      <c r="EB1269"/>
      <c r="EC1269"/>
      <c r="ED1269"/>
      <c r="EE1269"/>
      <c r="EF1269"/>
      <c r="EG1269"/>
      <c r="EH1269"/>
      <c r="EI1269"/>
      <c r="EJ1269"/>
      <c r="EK1269"/>
      <c r="EL1269"/>
      <c r="EM1269"/>
      <c r="EN1269"/>
      <c r="EO1269"/>
      <c r="EP1269"/>
      <c r="EQ1269"/>
      <c r="ER1269"/>
      <c r="ES1269"/>
      <c r="ET1269"/>
      <c r="EU1269"/>
      <c r="EV1269"/>
      <c r="EW1269"/>
      <c r="EX1269"/>
      <c r="EY1269"/>
      <c r="EZ1269"/>
      <c r="FA1269"/>
      <c r="FB1269"/>
      <c r="FC1269"/>
      <c r="FD1269"/>
      <c r="FE1269"/>
      <c r="FF1269"/>
      <c r="FG1269"/>
      <c r="FH1269"/>
      <c r="FI1269"/>
      <c r="FJ1269"/>
    </row>
    <row r="1270" spans="1:166" s="4" customFormat="1" x14ac:dyDescent="0.2">
      <c r="A1270" s="44"/>
      <c r="B1270" s="44"/>
      <c r="C1270" s="44"/>
      <c r="D1270" s="44"/>
      <c r="E1270" s="44"/>
      <c r="F1270" s="58"/>
      <c r="G1270" s="32"/>
      <c r="H1270" s="58"/>
      <c r="I1270" s="58"/>
      <c r="J1270" s="59"/>
      <c r="K1270" s="58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  <c r="DJ1270"/>
      <c r="DK1270"/>
      <c r="DL1270"/>
      <c r="DM1270"/>
      <c r="DN1270"/>
      <c r="DO1270"/>
      <c r="DP1270"/>
      <c r="DQ1270"/>
      <c r="DR1270"/>
      <c r="DS1270"/>
      <c r="DT1270"/>
      <c r="DU1270"/>
      <c r="DV1270"/>
      <c r="DW1270"/>
      <c r="DX1270"/>
      <c r="DY1270"/>
      <c r="DZ1270"/>
      <c r="EA1270"/>
      <c r="EB1270"/>
      <c r="EC1270"/>
      <c r="ED1270"/>
      <c r="EE1270"/>
      <c r="EF1270"/>
      <c r="EG1270"/>
      <c r="EH1270"/>
      <c r="EI1270"/>
      <c r="EJ1270"/>
      <c r="EK1270"/>
      <c r="EL1270"/>
      <c r="EM1270"/>
      <c r="EN1270"/>
      <c r="EO1270"/>
      <c r="EP1270"/>
      <c r="EQ1270"/>
      <c r="ER1270"/>
      <c r="ES1270"/>
      <c r="ET1270"/>
      <c r="EU1270"/>
      <c r="EV1270"/>
      <c r="EW1270"/>
      <c r="EX1270"/>
      <c r="EY1270"/>
      <c r="EZ1270"/>
      <c r="FA1270"/>
      <c r="FB1270"/>
      <c r="FC1270"/>
      <c r="FD1270"/>
      <c r="FE1270"/>
      <c r="FF1270"/>
      <c r="FG1270"/>
      <c r="FH1270"/>
      <c r="FI1270"/>
      <c r="FJ1270"/>
    </row>
    <row r="1271" spans="1:166" s="4" customFormat="1" x14ac:dyDescent="0.2">
      <c r="A1271" s="44"/>
      <c r="B1271" s="44"/>
      <c r="C1271" s="44"/>
      <c r="D1271" s="44"/>
      <c r="E1271" s="44"/>
      <c r="F1271" s="58"/>
      <c r="G1271" s="32"/>
      <c r="H1271" s="58"/>
      <c r="I1271" s="58"/>
      <c r="J1271" s="59"/>
      <c r="K1271" s="58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  <c r="DJ1271"/>
      <c r="DK1271"/>
      <c r="DL1271"/>
      <c r="DM1271"/>
      <c r="DN1271"/>
      <c r="DO1271"/>
      <c r="DP1271"/>
      <c r="DQ1271"/>
      <c r="DR1271"/>
      <c r="DS1271"/>
      <c r="DT1271"/>
      <c r="DU1271"/>
      <c r="DV1271"/>
      <c r="DW1271"/>
      <c r="DX1271"/>
      <c r="DY1271"/>
      <c r="DZ1271"/>
      <c r="EA1271"/>
      <c r="EB1271"/>
      <c r="EC1271"/>
      <c r="ED1271"/>
      <c r="EE1271"/>
      <c r="EF1271"/>
      <c r="EG1271"/>
      <c r="EH1271"/>
      <c r="EI1271"/>
      <c r="EJ1271"/>
      <c r="EK1271"/>
      <c r="EL1271"/>
      <c r="EM1271"/>
      <c r="EN1271"/>
      <c r="EO1271"/>
      <c r="EP1271"/>
      <c r="EQ1271"/>
      <c r="ER1271"/>
      <c r="ES1271"/>
      <c r="ET1271"/>
      <c r="EU1271"/>
      <c r="EV1271"/>
      <c r="EW1271"/>
      <c r="EX1271"/>
      <c r="EY1271"/>
      <c r="EZ1271"/>
      <c r="FA1271"/>
      <c r="FB1271"/>
      <c r="FC1271"/>
      <c r="FD1271"/>
      <c r="FE1271"/>
      <c r="FF1271"/>
      <c r="FG1271"/>
      <c r="FH1271"/>
      <c r="FI1271"/>
      <c r="FJ1271"/>
    </row>
    <row r="1272" spans="1:166" s="4" customFormat="1" x14ac:dyDescent="0.2">
      <c r="A1272" s="44"/>
      <c r="B1272" s="44"/>
      <c r="C1272" s="44"/>
      <c r="D1272" s="44"/>
      <c r="E1272" s="44"/>
      <c r="F1272" s="58"/>
      <c r="G1272" s="32"/>
      <c r="H1272" s="58"/>
      <c r="I1272" s="58"/>
      <c r="J1272" s="59"/>
      <c r="K1272" s="58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  <c r="DJ1272"/>
      <c r="DK1272"/>
      <c r="DL1272"/>
      <c r="DM1272"/>
      <c r="DN1272"/>
      <c r="DO1272"/>
      <c r="DP1272"/>
      <c r="DQ1272"/>
      <c r="DR1272"/>
      <c r="DS1272"/>
      <c r="DT1272"/>
      <c r="DU1272"/>
      <c r="DV1272"/>
      <c r="DW1272"/>
      <c r="DX1272"/>
      <c r="DY1272"/>
      <c r="DZ1272"/>
      <c r="EA1272"/>
      <c r="EB1272"/>
      <c r="EC1272"/>
      <c r="ED1272"/>
      <c r="EE1272"/>
      <c r="EF1272"/>
      <c r="EG1272"/>
      <c r="EH1272"/>
      <c r="EI1272"/>
      <c r="EJ1272"/>
      <c r="EK1272"/>
      <c r="EL1272"/>
      <c r="EM1272"/>
      <c r="EN1272"/>
      <c r="EO1272"/>
      <c r="EP1272"/>
      <c r="EQ1272"/>
      <c r="ER1272"/>
      <c r="ES1272"/>
      <c r="ET1272"/>
      <c r="EU1272"/>
      <c r="EV1272"/>
      <c r="EW1272"/>
      <c r="EX1272"/>
      <c r="EY1272"/>
      <c r="EZ1272"/>
      <c r="FA1272"/>
      <c r="FB1272"/>
      <c r="FC1272"/>
      <c r="FD1272"/>
      <c r="FE1272"/>
      <c r="FF1272"/>
      <c r="FG1272"/>
      <c r="FH1272"/>
      <c r="FI1272"/>
      <c r="FJ1272"/>
    </row>
    <row r="1273" spans="1:166" s="4" customFormat="1" x14ac:dyDescent="0.2">
      <c r="A1273" s="44"/>
      <c r="B1273" s="44"/>
      <c r="C1273" s="44"/>
      <c r="D1273" s="44"/>
      <c r="E1273" s="44"/>
      <c r="F1273" s="58"/>
      <c r="G1273" s="32"/>
      <c r="H1273" s="58"/>
      <c r="I1273" s="58"/>
      <c r="J1273" s="59"/>
      <c r="K1273" s="58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  <c r="DJ1273"/>
      <c r="DK1273"/>
      <c r="DL1273"/>
      <c r="DM1273"/>
      <c r="DN1273"/>
      <c r="DO1273"/>
      <c r="DP1273"/>
      <c r="DQ1273"/>
      <c r="DR1273"/>
      <c r="DS1273"/>
      <c r="DT1273"/>
      <c r="DU1273"/>
      <c r="DV1273"/>
      <c r="DW1273"/>
      <c r="DX1273"/>
      <c r="DY1273"/>
      <c r="DZ1273"/>
      <c r="EA1273"/>
      <c r="EB1273"/>
      <c r="EC1273"/>
      <c r="ED1273"/>
      <c r="EE1273"/>
      <c r="EF1273"/>
      <c r="EG1273"/>
      <c r="EH1273"/>
      <c r="EI1273"/>
      <c r="EJ1273"/>
      <c r="EK1273"/>
      <c r="EL1273"/>
      <c r="EM1273"/>
      <c r="EN1273"/>
      <c r="EO1273"/>
      <c r="EP1273"/>
      <c r="EQ1273"/>
      <c r="ER1273"/>
      <c r="ES1273"/>
      <c r="ET1273"/>
      <c r="EU1273"/>
      <c r="EV1273"/>
      <c r="EW1273"/>
      <c r="EX1273"/>
      <c r="EY1273"/>
      <c r="EZ1273"/>
      <c r="FA1273"/>
      <c r="FB1273"/>
      <c r="FC1273"/>
      <c r="FD1273"/>
      <c r="FE1273"/>
      <c r="FF1273"/>
      <c r="FG1273"/>
      <c r="FH1273"/>
      <c r="FI1273"/>
      <c r="FJ1273"/>
    </row>
    <row r="1274" spans="1:166" s="4" customFormat="1" x14ac:dyDescent="0.2">
      <c r="A1274" s="44"/>
      <c r="B1274" s="44"/>
      <c r="C1274" s="44"/>
      <c r="D1274" s="44"/>
      <c r="E1274" s="44"/>
      <c r="F1274" s="58"/>
      <c r="G1274" s="32"/>
      <c r="H1274" s="58"/>
      <c r="I1274" s="58"/>
      <c r="J1274" s="59"/>
      <c r="K1274" s="58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  <c r="DJ1274"/>
      <c r="DK1274"/>
      <c r="DL1274"/>
      <c r="DM1274"/>
      <c r="DN1274"/>
      <c r="DO1274"/>
      <c r="DP1274"/>
      <c r="DQ1274"/>
      <c r="DR1274"/>
      <c r="DS1274"/>
      <c r="DT1274"/>
      <c r="DU1274"/>
      <c r="DV1274"/>
      <c r="DW1274"/>
      <c r="DX1274"/>
      <c r="DY1274"/>
      <c r="DZ1274"/>
      <c r="EA1274"/>
      <c r="EB1274"/>
      <c r="EC1274"/>
      <c r="ED1274"/>
      <c r="EE1274"/>
      <c r="EF1274"/>
      <c r="EG1274"/>
      <c r="EH1274"/>
      <c r="EI1274"/>
      <c r="EJ1274"/>
      <c r="EK1274"/>
      <c r="EL1274"/>
      <c r="EM1274"/>
      <c r="EN1274"/>
      <c r="EO1274"/>
      <c r="EP1274"/>
      <c r="EQ1274"/>
      <c r="ER1274"/>
      <c r="ES1274"/>
      <c r="ET1274"/>
      <c r="EU1274"/>
      <c r="EV1274"/>
      <c r="EW1274"/>
      <c r="EX1274"/>
      <c r="EY1274"/>
      <c r="EZ1274"/>
      <c r="FA1274"/>
      <c r="FB1274"/>
      <c r="FC1274"/>
      <c r="FD1274"/>
      <c r="FE1274"/>
      <c r="FF1274"/>
      <c r="FG1274"/>
      <c r="FH1274"/>
      <c r="FI1274"/>
      <c r="FJ1274"/>
    </row>
    <row r="1275" spans="1:166" s="4" customFormat="1" x14ac:dyDescent="0.2">
      <c r="A1275" s="44"/>
      <c r="B1275" s="44"/>
      <c r="C1275" s="44"/>
      <c r="D1275" s="44"/>
      <c r="E1275" s="44"/>
      <c r="F1275" s="58"/>
      <c r="G1275" s="32"/>
      <c r="H1275" s="58"/>
      <c r="I1275" s="58"/>
      <c r="J1275" s="59"/>
      <c r="K1275" s="58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  <c r="DJ1275"/>
      <c r="DK1275"/>
      <c r="DL1275"/>
      <c r="DM1275"/>
      <c r="DN1275"/>
      <c r="DO1275"/>
      <c r="DP1275"/>
      <c r="DQ1275"/>
      <c r="DR1275"/>
      <c r="DS1275"/>
      <c r="DT1275"/>
      <c r="DU1275"/>
      <c r="DV1275"/>
      <c r="DW1275"/>
      <c r="DX1275"/>
      <c r="DY1275"/>
      <c r="DZ1275"/>
      <c r="EA1275"/>
      <c r="EB1275"/>
      <c r="EC1275"/>
      <c r="ED1275"/>
      <c r="EE1275"/>
      <c r="EF1275"/>
      <c r="EG1275"/>
      <c r="EH1275"/>
      <c r="EI1275"/>
      <c r="EJ1275"/>
      <c r="EK1275"/>
      <c r="EL1275"/>
      <c r="EM1275"/>
      <c r="EN1275"/>
      <c r="EO1275"/>
      <c r="EP1275"/>
      <c r="EQ1275"/>
      <c r="ER1275"/>
      <c r="ES1275"/>
      <c r="ET1275"/>
      <c r="EU1275"/>
      <c r="EV1275"/>
      <c r="EW1275"/>
      <c r="EX1275"/>
      <c r="EY1275"/>
      <c r="EZ1275"/>
      <c r="FA1275"/>
      <c r="FB1275"/>
      <c r="FC1275"/>
      <c r="FD1275"/>
      <c r="FE1275"/>
      <c r="FF1275"/>
      <c r="FG1275"/>
      <c r="FH1275"/>
      <c r="FI1275"/>
      <c r="FJ1275"/>
    </row>
    <row r="1276" spans="1:166" s="4" customFormat="1" x14ac:dyDescent="0.2">
      <c r="A1276" s="44"/>
      <c r="B1276" s="44"/>
      <c r="C1276" s="44"/>
      <c r="D1276" s="44"/>
      <c r="E1276" s="44"/>
      <c r="F1276" s="58"/>
      <c r="G1276" s="32"/>
      <c r="H1276" s="58"/>
      <c r="I1276" s="58"/>
      <c r="J1276" s="59"/>
      <c r="K1276" s="58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  <c r="DJ1276"/>
      <c r="DK1276"/>
      <c r="DL1276"/>
      <c r="DM1276"/>
      <c r="DN1276"/>
      <c r="DO1276"/>
      <c r="DP1276"/>
      <c r="DQ1276"/>
      <c r="DR1276"/>
      <c r="DS1276"/>
      <c r="DT1276"/>
      <c r="DU1276"/>
      <c r="DV1276"/>
      <c r="DW1276"/>
      <c r="DX1276"/>
      <c r="DY1276"/>
      <c r="DZ1276"/>
      <c r="EA1276"/>
      <c r="EB1276"/>
      <c r="EC1276"/>
      <c r="ED1276"/>
      <c r="EE1276"/>
      <c r="EF1276"/>
      <c r="EG1276"/>
      <c r="EH1276"/>
      <c r="EI1276"/>
      <c r="EJ1276"/>
      <c r="EK1276"/>
      <c r="EL1276"/>
      <c r="EM1276"/>
      <c r="EN1276"/>
      <c r="EO1276"/>
      <c r="EP1276"/>
      <c r="EQ1276"/>
      <c r="ER1276"/>
      <c r="ES1276"/>
      <c r="ET1276"/>
      <c r="EU1276"/>
      <c r="EV1276"/>
      <c r="EW1276"/>
      <c r="EX1276"/>
      <c r="EY1276"/>
      <c r="EZ1276"/>
      <c r="FA1276"/>
      <c r="FB1276"/>
      <c r="FC1276"/>
      <c r="FD1276"/>
      <c r="FE1276"/>
      <c r="FF1276"/>
      <c r="FG1276"/>
      <c r="FH1276"/>
      <c r="FI1276"/>
      <c r="FJ1276"/>
    </row>
    <row r="1277" spans="1:166" s="4" customFormat="1" x14ac:dyDescent="0.2">
      <c r="A1277" s="44"/>
      <c r="B1277" s="44"/>
      <c r="C1277" s="44"/>
      <c r="D1277" s="44"/>
      <c r="E1277" s="44"/>
      <c r="F1277" s="58"/>
      <c r="G1277" s="32"/>
      <c r="H1277" s="58"/>
      <c r="I1277" s="58"/>
      <c r="J1277" s="59"/>
      <c r="K1277" s="58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  <c r="DJ1277"/>
      <c r="DK1277"/>
      <c r="DL1277"/>
      <c r="DM1277"/>
      <c r="DN1277"/>
      <c r="DO1277"/>
      <c r="DP1277"/>
      <c r="DQ1277"/>
      <c r="DR1277"/>
      <c r="DS1277"/>
      <c r="DT1277"/>
      <c r="DU1277"/>
      <c r="DV1277"/>
      <c r="DW1277"/>
      <c r="DX1277"/>
      <c r="DY1277"/>
      <c r="DZ1277"/>
      <c r="EA1277"/>
      <c r="EB1277"/>
      <c r="EC1277"/>
      <c r="ED1277"/>
      <c r="EE1277"/>
      <c r="EF1277"/>
      <c r="EG1277"/>
      <c r="EH1277"/>
      <c r="EI1277"/>
      <c r="EJ1277"/>
      <c r="EK1277"/>
      <c r="EL1277"/>
      <c r="EM1277"/>
      <c r="EN1277"/>
      <c r="EO1277"/>
      <c r="EP1277"/>
      <c r="EQ1277"/>
      <c r="ER1277"/>
      <c r="ES1277"/>
      <c r="ET1277"/>
      <c r="EU1277"/>
      <c r="EV1277"/>
      <c r="EW1277"/>
      <c r="EX1277"/>
      <c r="EY1277"/>
      <c r="EZ1277"/>
      <c r="FA1277"/>
      <c r="FB1277"/>
      <c r="FC1277"/>
      <c r="FD1277"/>
      <c r="FE1277"/>
      <c r="FF1277"/>
      <c r="FG1277"/>
      <c r="FH1277"/>
      <c r="FI1277"/>
      <c r="FJ1277"/>
    </row>
    <row r="1278" spans="1:166" s="4" customFormat="1" x14ac:dyDescent="0.2">
      <c r="A1278" s="44"/>
      <c r="B1278" s="44"/>
      <c r="C1278" s="44"/>
      <c r="D1278" s="44"/>
      <c r="E1278" s="44"/>
      <c r="F1278" s="58"/>
      <c r="G1278" s="32"/>
      <c r="H1278" s="58"/>
      <c r="I1278" s="58"/>
      <c r="J1278" s="59"/>
      <c r="K1278" s="5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  <c r="DJ1278"/>
      <c r="DK1278"/>
      <c r="DL1278"/>
      <c r="DM1278"/>
      <c r="DN1278"/>
      <c r="DO1278"/>
      <c r="DP1278"/>
      <c r="DQ1278"/>
      <c r="DR1278"/>
      <c r="DS1278"/>
      <c r="DT1278"/>
      <c r="DU1278"/>
      <c r="DV1278"/>
      <c r="DW1278"/>
      <c r="DX1278"/>
      <c r="DY1278"/>
      <c r="DZ1278"/>
      <c r="EA1278"/>
      <c r="EB1278"/>
      <c r="EC1278"/>
      <c r="ED1278"/>
      <c r="EE1278"/>
      <c r="EF1278"/>
      <c r="EG1278"/>
      <c r="EH1278"/>
      <c r="EI1278"/>
      <c r="EJ1278"/>
      <c r="EK1278"/>
      <c r="EL1278"/>
      <c r="EM1278"/>
      <c r="EN1278"/>
      <c r="EO1278"/>
      <c r="EP1278"/>
      <c r="EQ1278"/>
      <c r="ER1278"/>
      <c r="ES1278"/>
      <c r="ET1278"/>
      <c r="EU1278"/>
      <c r="EV1278"/>
      <c r="EW1278"/>
      <c r="EX1278"/>
      <c r="EY1278"/>
      <c r="EZ1278"/>
      <c r="FA1278"/>
      <c r="FB1278"/>
      <c r="FC1278"/>
      <c r="FD1278"/>
      <c r="FE1278"/>
      <c r="FF1278"/>
      <c r="FG1278"/>
      <c r="FH1278"/>
      <c r="FI1278"/>
      <c r="FJ1278"/>
    </row>
    <row r="1279" spans="1:166" s="4" customFormat="1" x14ac:dyDescent="0.2">
      <c r="A1279" s="44"/>
      <c r="B1279" s="44"/>
      <c r="C1279" s="44"/>
      <c r="D1279" s="44"/>
      <c r="E1279" s="44"/>
      <c r="F1279" s="58"/>
      <c r="G1279" s="32"/>
      <c r="H1279" s="58"/>
      <c r="I1279" s="58"/>
      <c r="J1279" s="59"/>
      <c r="K1279" s="58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  <c r="DJ1279"/>
      <c r="DK1279"/>
      <c r="DL1279"/>
      <c r="DM1279"/>
      <c r="DN1279"/>
      <c r="DO1279"/>
      <c r="DP1279"/>
      <c r="DQ1279"/>
      <c r="DR1279"/>
      <c r="DS1279"/>
      <c r="DT1279"/>
      <c r="DU1279"/>
      <c r="DV1279"/>
      <c r="DW1279"/>
      <c r="DX1279"/>
      <c r="DY1279"/>
      <c r="DZ1279"/>
      <c r="EA1279"/>
      <c r="EB1279"/>
      <c r="EC1279"/>
      <c r="ED1279"/>
      <c r="EE1279"/>
      <c r="EF1279"/>
      <c r="EG1279"/>
      <c r="EH1279"/>
      <c r="EI1279"/>
      <c r="EJ1279"/>
      <c r="EK1279"/>
      <c r="EL1279"/>
      <c r="EM1279"/>
      <c r="EN1279"/>
      <c r="EO1279"/>
      <c r="EP1279"/>
      <c r="EQ1279"/>
      <c r="ER1279"/>
      <c r="ES1279"/>
      <c r="ET1279"/>
      <c r="EU1279"/>
      <c r="EV1279"/>
      <c r="EW1279"/>
      <c r="EX1279"/>
      <c r="EY1279"/>
      <c r="EZ1279"/>
      <c r="FA1279"/>
      <c r="FB1279"/>
      <c r="FC1279"/>
      <c r="FD1279"/>
      <c r="FE1279"/>
      <c r="FF1279"/>
      <c r="FG1279"/>
      <c r="FH1279"/>
      <c r="FI1279"/>
      <c r="FJ1279"/>
    </row>
    <row r="1280" spans="1:166" s="4" customFormat="1" x14ac:dyDescent="0.2">
      <c r="A1280" s="44"/>
      <c r="B1280" s="44"/>
      <c r="C1280" s="44"/>
      <c r="D1280" s="44"/>
      <c r="E1280" s="44"/>
      <c r="F1280" s="58"/>
      <c r="G1280" s="32"/>
      <c r="H1280" s="58"/>
      <c r="I1280" s="58"/>
      <c r="J1280" s="59"/>
      <c r="K1280" s="58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  <c r="DJ1280"/>
      <c r="DK1280"/>
      <c r="DL1280"/>
      <c r="DM1280"/>
      <c r="DN1280"/>
      <c r="DO1280"/>
      <c r="DP1280"/>
      <c r="DQ1280"/>
      <c r="DR1280"/>
      <c r="DS1280"/>
      <c r="DT1280"/>
      <c r="DU1280"/>
      <c r="DV1280"/>
      <c r="DW1280"/>
      <c r="DX1280"/>
      <c r="DY1280"/>
      <c r="DZ1280"/>
      <c r="EA1280"/>
      <c r="EB1280"/>
      <c r="EC1280"/>
      <c r="ED1280"/>
      <c r="EE1280"/>
      <c r="EF1280"/>
      <c r="EG1280"/>
      <c r="EH1280"/>
      <c r="EI1280"/>
      <c r="EJ1280"/>
      <c r="EK1280"/>
      <c r="EL1280"/>
      <c r="EM1280"/>
      <c r="EN1280"/>
      <c r="EO1280"/>
      <c r="EP1280"/>
      <c r="EQ1280"/>
      <c r="ER1280"/>
      <c r="ES1280"/>
      <c r="ET1280"/>
      <c r="EU1280"/>
      <c r="EV1280"/>
      <c r="EW1280"/>
      <c r="EX1280"/>
      <c r="EY1280"/>
      <c r="EZ1280"/>
      <c r="FA1280"/>
      <c r="FB1280"/>
      <c r="FC1280"/>
      <c r="FD1280"/>
      <c r="FE1280"/>
      <c r="FF1280"/>
      <c r="FG1280"/>
      <c r="FH1280"/>
      <c r="FI1280"/>
      <c r="FJ1280"/>
    </row>
    <row r="1281" spans="1:166" s="4" customFormat="1" x14ac:dyDescent="0.2">
      <c r="A1281" s="44"/>
      <c r="B1281" s="44"/>
      <c r="C1281" s="44"/>
      <c r="D1281" s="44"/>
      <c r="E1281" s="44"/>
      <c r="F1281" s="58"/>
      <c r="G1281" s="32"/>
      <c r="H1281" s="58"/>
      <c r="I1281" s="58"/>
      <c r="J1281" s="59"/>
      <c r="K1281" s="58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  <c r="DJ1281"/>
      <c r="DK1281"/>
      <c r="DL1281"/>
      <c r="DM1281"/>
      <c r="DN1281"/>
      <c r="DO1281"/>
      <c r="DP1281"/>
      <c r="DQ1281"/>
      <c r="DR1281"/>
      <c r="DS1281"/>
      <c r="DT1281"/>
      <c r="DU1281"/>
      <c r="DV1281"/>
      <c r="DW1281"/>
      <c r="DX1281"/>
      <c r="DY1281"/>
      <c r="DZ1281"/>
      <c r="EA1281"/>
      <c r="EB1281"/>
      <c r="EC1281"/>
      <c r="ED1281"/>
      <c r="EE1281"/>
      <c r="EF1281"/>
      <c r="EG1281"/>
      <c r="EH1281"/>
      <c r="EI1281"/>
      <c r="EJ1281"/>
      <c r="EK1281"/>
      <c r="EL1281"/>
      <c r="EM1281"/>
      <c r="EN1281"/>
      <c r="EO1281"/>
      <c r="EP1281"/>
      <c r="EQ1281"/>
      <c r="ER1281"/>
      <c r="ES1281"/>
      <c r="ET1281"/>
      <c r="EU1281"/>
      <c r="EV1281"/>
      <c r="EW1281"/>
      <c r="EX1281"/>
      <c r="EY1281"/>
      <c r="EZ1281"/>
      <c r="FA1281"/>
      <c r="FB1281"/>
      <c r="FC1281"/>
      <c r="FD1281"/>
      <c r="FE1281"/>
      <c r="FF1281"/>
      <c r="FG1281"/>
      <c r="FH1281"/>
      <c r="FI1281"/>
      <c r="FJ1281"/>
    </row>
    <row r="1282" spans="1:166" s="4" customFormat="1" x14ac:dyDescent="0.2">
      <c r="A1282" s="44"/>
      <c r="B1282" s="44"/>
      <c r="C1282" s="44"/>
      <c r="D1282" s="44"/>
      <c r="E1282" s="44"/>
      <c r="F1282" s="58"/>
      <c r="G1282" s="32"/>
      <c r="H1282" s="58"/>
      <c r="I1282" s="58"/>
      <c r="J1282" s="59"/>
      <c r="K1282" s="58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  <c r="DJ1282"/>
      <c r="DK1282"/>
      <c r="DL1282"/>
      <c r="DM1282"/>
      <c r="DN1282"/>
      <c r="DO1282"/>
      <c r="DP1282"/>
      <c r="DQ1282"/>
      <c r="DR1282"/>
      <c r="DS1282"/>
      <c r="DT1282"/>
      <c r="DU1282"/>
      <c r="DV1282"/>
      <c r="DW1282"/>
      <c r="DX1282"/>
      <c r="DY1282"/>
      <c r="DZ1282"/>
      <c r="EA1282"/>
      <c r="EB1282"/>
      <c r="EC1282"/>
      <c r="ED1282"/>
      <c r="EE1282"/>
      <c r="EF1282"/>
      <c r="EG1282"/>
      <c r="EH1282"/>
      <c r="EI1282"/>
      <c r="EJ1282"/>
      <c r="EK1282"/>
      <c r="EL1282"/>
      <c r="EM1282"/>
      <c r="EN1282"/>
      <c r="EO1282"/>
      <c r="EP1282"/>
      <c r="EQ1282"/>
      <c r="ER1282"/>
      <c r="ES1282"/>
      <c r="ET1282"/>
      <c r="EU1282"/>
      <c r="EV1282"/>
      <c r="EW1282"/>
      <c r="EX1282"/>
      <c r="EY1282"/>
      <c r="EZ1282"/>
      <c r="FA1282"/>
      <c r="FB1282"/>
      <c r="FC1282"/>
      <c r="FD1282"/>
      <c r="FE1282"/>
      <c r="FF1282"/>
      <c r="FG1282"/>
      <c r="FH1282"/>
      <c r="FI1282"/>
      <c r="FJ1282"/>
    </row>
    <row r="1283" spans="1:166" s="4" customFormat="1" x14ac:dyDescent="0.2">
      <c r="A1283" s="44"/>
      <c r="B1283" s="44"/>
      <c r="C1283" s="44"/>
      <c r="D1283" s="44"/>
      <c r="E1283" s="44"/>
      <c r="F1283" s="58"/>
      <c r="G1283" s="32"/>
      <c r="H1283" s="58"/>
      <c r="I1283" s="58"/>
      <c r="J1283" s="59"/>
      <c r="K1283" s="58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  <c r="DJ1283"/>
      <c r="DK1283"/>
      <c r="DL1283"/>
      <c r="DM1283"/>
      <c r="DN1283"/>
      <c r="DO1283"/>
      <c r="DP1283"/>
      <c r="DQ1283"/>
      <c r="DR1283"/>
      <c r="DS1283"/>
      <c r="DT1283"/>
      <c r="DU1283"/>
      <c r="DV1283"/>
      <c r="DW1283"/>
      <c r="DX1283"/>
      <c r="DY1283"/>
      <c r="DZ1283"/>
      <c r="EA1283"/>
      <c r="EB1283"/>
      <c r="EC1283"/>
      <c r="ED1283"/>
      <c r="EE1283"/>
      <c r="EF1283"/>
      <c r="EG1283"/>
      <c r="EH1283"/>
      <c r="EI1283"/>
      <c r="EJ1283"/>
      <c r="EK1283"/>
      <c r="EL1283"/>
      <c r="EM1283"/>
      <c r="EN1283"/>
      <c r="EO1283"/>
      <c r="EP1283"/>
      <c r="EQ1283"/>
      <c r="ER1283"/>
      <c r="ES1283"/>
      <c r="ET1283"/>
      <c r="EU1283"/>
      <c r="EV1283"/>
      <c r="EW1283"/>
      <c r="EX1283"/>
      <c r="EY1283"/>
      <c r="EZ1283"/>
      <c r="FA1283"/>
      <c r="FB1283"/>
      <c r="FC1283"/>
      <c r="FD1283"/>
      <c r="FE1283"/>
      <c r="FF1283"/>
      <c r="FG1283"/>
      <c r="FH1283"/>
      <c r="FI1283"/>
      <c r="FJ1283"/>
    </row>
    <row r="1284" spans="1:166" s="4" customFormat="1" x14ac:dyDescent="0.2">
      <c r="A1284" s="44"/>
      <c r="B1284" s="44"/>
      <c r="C1284" s="44"/>
      <c r="D1284" s="44"/>
      <c r="E1284" s="44"/>
      <c r="F1284" s="58"/>
      <c r="G1284" s="32"/>
      <c r="H1284" s="58"/>
      <c r="I1284" s="58"/>
      <c r="J1284" s="59"/>
      <c r="K1284" s="58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  <c r="DJ1284"/>
      <c r="DK1284"/>
      <c r="DL1284"/>
      <c r="DM1284"/>
      <c r="DN1284"/>
      <c r="DO1284"/>
      <c r="DP1284"/>
      <c r="DQ1284"/>
      <c r="DR1284"/>
      <c r="DS1284"/>
      <c r="DT1284"/>
      <c r="DU1284"/>
      <c r="DV1284"/>
      <c r="DW1284"/>
      <c r="DX1284"/>
      <c r="DY1284"/>
      <c r="DZ1284"/>
      <c r="EA1284"/>
      <c r="EB1284"/>
      <c r="EC1284"/>
      <c r="ED1284"/>
      <c r="EE1284"/>
      <c r="EF1284"/>
      <c r="EG1284"/>
      <c r="EH1284"/>
      <c r="EI1284"/>
      <c r="EJ1284"/>
      <c r="EK1284"/>
      <c r="EL1284"/>
      <c r="EM1284"/>
      <c r="EN1284"/>
      <c r="EO1284"/>
      <c r="EP1284"/>
      <c r="EQ1284"/>
      <c r="ER1284"/>
      <c r="ES1284"/>
      <c r="ET1284"/>
      <c r="EU1284"/>
      <c r="EV1284"/>
      <c r="EW1284"/>
      <c r="EX1284"/>
      <c r="EY1284"/>
      <c r="EZ1284"/>
      <c r="FA1284"/>
      <c r="FB1284"/>
      <c r="FC1284"/>
      <c r="FD1284"/>
      <c r="FE1284"/>
      <c r="FF1284"/>
      <c r="FG1284"/>
      <c r="FH1284"/>
      <c r="FI1284"/>
      <c r="FJ1284"/>
    </row>
    <row r="1285" spans="1:166" s="4" customFormat="1" x14ac:dyDescent="0.2">
      <c r="A1285" s="44"/>
      <c r="B1285" s="44"/>
      <c r="C1285" s="44"/>
      <c r="D1285" s="44"/>
      <c r="E1285" s="44"/>
      <c r="F1285" s="58"/>
      <c r="G1285" s="32"/>
      <c r="H1285" s="58"/>
      <c r="I1285" s="58"/>
      <c r="J1285" s="59"/>
      <c r="K1285" s="58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  <c r="DJ1285"/>
      <c r="DK1285"/>
      <c r="DL1285"/>
      <c r="DM1285"/>
      <c r="DN1285"/>
      <c r="DO1285"/>
      <c r="DP1285"/>
      <c r="DQ1285"/>
      <c r="DR1285"/>
      <c r="DS1285"/>
      <c r="DT1285"/>
      <c r="DU1285"/>
      <c r="DV1285"/>
      <c r="DW1285"/>
      <c r="DX1285"/>
      <c r="DY1285"/>
      <c r="DZ1285"/>
      <c r="EA1285"/>
      <c r="EB1285"/>
      <c r="EC1285"/>
      <c r="ED1285"/>
      <c r="EE1285"/>
      <c r="EF1285"/>
      <c r="EG1285"/>
      <c r="EH1285"/>
      <c r="EI1285"/>
      <c r="EJ1285"/>
      <c r="EK1285"/>
      <c r="EL1285"/>
      <c r="EM1285"/>
      <c r="EN1285"/>
      <c r="EO1285"/>
      <c r="EP1285"/>
      <c r="EQ1285"/>
      <c r="ER1285"/>
      <c r="ES1285"/>
      <c r="ET1285"/>
      <c r="EU1285"/>
      <c r="EV1285"/>
      <c r="EW1285"/>
      <c r="EX1285"/>
      <c r="EY1285"/>
      <c r="EZ1285"/>
      <c r="FA1285"/>
      <c r="FB1285"/>
      <c r="FC1285"/>
      <c r="FD1285"/>
      <c r="FE1285"/>
      <c r="FF1285"/>
      <c r="FG1285"/>
      <c r="FH1285"/>
      <c r="FI1285"/>
      <c r="FJ1285"/>
    </row>
    <row r="1286" spans="1:166" s="4" customFormat="1" x14ac:dyDescent="0.2">
      <c r="A1286" s="44"/>
      <c r="B1286" s="44"/>
      <c r="C1286" s="44"/>
      <c r="D1286" s="44"/>
      <c r="E1286" s="44"/>
      <c r="F1286" s="58"/>
      <c r="G1286" s="32"/>
      <c r="H1286" s="58"/>
      <c r="I1286" s="58"/>
      <c r="J1286" s="59"/>
      <c r="K1286" s="58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  <c r="DJ1286"/>
      <c r="DK1286"/>
      <c r="DL1286"/>
      <c r="DM1286"/>
      <c r="DN1286"/>
      <c r="DO1286"/>
      <c r="DP1286"/>
      <c r="DQ1286"/>
      <c r="DR1286"/>
      <c r="DS1286"/>
      <c r="DT1286"/>
      <c r="DU1286"/>
      <c r="DV1286"/>
      <c r="DW1286"/>
      <c r="DX1286"/>
      <c r="DY1286"/>
      <c r="DZ1286"/>
      <c r="EA1286"/>
      <c r="EB1286"/>
      <c r="EC1286"/>
      <c r="ED1286"/>
      <c r="EE1286"/>
      <c r="EF1286"/>
      <c r="EG1286"/>
      <c r="EH1286"/>
      <c r="EI1286"/>
      <c r="EJ1286"/>
      <c r="EK1286"/>
      <c r="EL1286"/>
      <c r="EM1286"/>
      <c r="EN1286"/>
      <c r="EO1286"/>
      <c r="EP1286"/>
      <c r="EQ1286"/>
      <c r="ER1286"/>
      <c r="ES1286"/>
      <c r="ET1286"/>
      <c r="EU1286"/>
      <c r="EV1286"/>
      <c r="EW1286"/>
      <c r="EX1286"/>
      <c r="EY1286"/>
      <c r="EZ1286"/>
      <c r="FA1286"/>
      <c r="FB1286"/>
      <c r="FC1286"/>
      <c r="FD1286"/>
      <c r="FE1286"/>
      <c r="FF1286"/>
      <c r="FG1286"/>
      <c r="FH1286"/>
      <c r="FI1286"/>
      <c r="FJ1286"/>
    </row>
    <row r="1287" spans="1:166" s="4" customFormat="1" x14ac:dyDescent="0.2">
      <c r="A1287" s="44"/>
      <c r="B1287" s="44"/>
      <c r="C1287" s="44"/>
      <c r="D1287" s="44"/>
      <c r="E1287" s="44"/>
      <c r="F1287" s="58"/>
      <c r="G1287" s="32"/>
      <c r="H1287" s="58"/>
      <c r="I1287" s="58"/>
      <c r="J1287" s="59"/>
      <c r="K1287" s="58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  <c r="DJ1287"/>
      <c r="DK1287"/>
      <c r="DL1287"/>
      <c r="DM1287"/>
      <c r="DN1287"/>
      <c r="DO1287"/>
      <c r="DP1287"/>
      <c r="DQ1287"/>
      <c r="DR1287"/>
      <c r="DS1287"/>
      <c r="DT1287"/>
      <c r="DU1287"/>
      <c r="DV1287"/>
      <c r="DW1287"/>
      <c r="DX1287"/>
      <c r="DY1287"/>
      <c r="DZ1287"/>
      <c r="EA1287"/>
      <c r="EB1287"/>
      <c r="EC1287"/>
      <c r="ED1287"/>
      <c r="EE1287"/>
      <c r="EF1287"/>
      <c r="EG1287"/>
      <c r="EH1287"/>
      <c r="EI1287"/>
      <c r="EJ1287"/>
      <c r="EK1287"/>
      <c r="EL1287"/>
      <c r="EM1287"/>
      <c r="EN1287"/>
      <c r="EO1287"/>
      <c r="EP1287"/>
      <c r="EQ1287"/>
      <c r="ER1287"/>
      <c r="ES1287"/>
      <c r="ET1287"/>
      <c r="EU1287"/>
      <c r="EV1287"/>
      <c r="EW1287"/>
      <c r="EX1287"/>
      <c r="EY1287"/>
      <c r="EZ1287"/>
      <c r="FA1287"/>
      <c r="FB1287"/>
      <c r="FC1287"/>
      <c r="FD1287"/>
      <c r="FE1287"/>
      <c r="FF1287"/>
      <c r="FG1287"/>
      <c r="FH1287"/>
      <c r="FI1287"/>
      <c r="FJ1287"/>
    </row>
    <row r="1288" spans="1:166" s="4" customFormat="1" x14ac:dyDescent="0.2">
      <c r="A1288" s="44"/>
      <c r="B1288" s="44"/>
      <c r="C1288" s="44"/>
      <c r="D1288" s="44"/>
      <c r="E1288" s="44"/>
      <c r="F1288" s="58"/>
      <c r="G1288" s="32"/>
      <c r="H1288" s="58"/>
      <c r="I1288" s="58"/>
      <c r="J1288" s="59"/>
      <c r="K1288" s="5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  <c r="DJ1288"/>
      <c r="DK1288"/>
      <c r="DL1288"/>
      <c r="DM1288"/>
      <c r="DN1288"/>
      <c r="DO1288"/>
      <c r="DP1288"/>
      <c r="DQ1288"/>
      <c r="DR1288"/>
      <c r="DS1288"/>
      <c r="DT1288"/>
      <c r="DU1288"/>
      <c r="DV1288"/>
      <c r="DW1288"/>
      <c r="DX1288"/>
      <c r="DY1288"/>
      <c r="DZ1288"/>
      <c r="EA1288"/>
      <c r="EB1288"/>
      <c r="EC1288"/>
      <c r="ED1288"/>
      <c r="EE1288"/>
      <c r="EF1288"/>
      <c r="EG1288"/>
      <c r="EH1288"/>
      <c r="EI1288"/>
      <c r="EJ1288"/>
      <c r="EK1288"/>
      <c r="EL1288"/>
      <c r="EM1288"/>
      <c r="EN1288"/>
      <c r="EO1288"/>
      <c r="EP1288"/>
      <c r="EQ1288"/>
      <c r="ER1288"/>
      <c r="ES1288"/>
      <c r="ET1288"/>
      <c r="EU1288"/>
      <c r="EV1288"/>
      <c r="EW1288"/>
      <c r="EX1288"/>
      <c r="EY1288"/>
      <c r="EZ1288"/>
      <c r="FA1288"/>
      <c r="FB1288"/>
      <c r="FC1288"/>
      <c r="FD1288"/>
      <c r="FE1288"/>
      <c r="FF1288"/>
      <c r="FG1288"/>
      <c r="FH1288"/>
      <c r="FI1288"/>
      <c r="FJ1288"/>
    </row>
    <row r="1289" spans="1:166" s="4" customFormat="1" x14ac:dyDescent="0.2">
      <c r="A1289" s="44"/>
      <c r="B1289" s="44"/>
      <c r="C1289" s="44"/>
      <c r="D1289" s="44"/>
      <c r="E1289" s="44"/>
      <c r="F1289" s="58"/>
      <c r="G1289" s="32"/>
      <c r="H1289" s="58"/>
      <c r="I1289" s="58"/>
      <c r="J1289" s="59"/>
      <c r="K1289" s="58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  <c r="DJ1289"/>
      <c r="DK1289"/>
      <c r="DL1289"/>
      <c r="DM1289"/>
      <c r="DN1289"/>
      <c r="DO1289"/>
      <c r="DP1289"/>
      <c r="DQ1289"/>
      <c r="DR1289"/>
      <c r="DS1289"/>
      <c r="DT1289"/>
      <c r="DU1289"/>
      <c r="DV1289"/>
      <c r="DW1289"/>
      <c r="DX1289"/>
      <c r="DY1289"/>
      <c r="DZ1289"/>
      <c r="EA1289"/>
      <c r="EB1289"/>
      <c r="EC1289"/>
      <c r="ED1289"/>
      <c r="EE1289"/>
      <c r="EF1289"/>
      <c r="EG1289"/>
      <c r="EH1289"/>
      <c r="EI1289"/>
      <c r="EJ1289"/>
      <c r="EK1289"/>
      <c r="EL1289"/>
      <c r="EM1289"/>
      <c r="EN1289"/>
      <c r="EO1289"/>
      <c r="EP1289"/>
      <c r="EQ1289"/>
      <c r="ER1289"/>
      <c r="ES1289"/>
      <c r="ET1289"/>
      <c r="EU1289"/>
      <c r="EV1289"/>
      <c r="EW1289"/>
      <c r="EX1289"/>
      <c r="EY1289"/>
      <c r="EZ1289"/>
      <c r="FA1289"/>
      <c r="FB1289"/>
      <c r="FC1289"/>
      <c r="FD1289"/>
      <c r="FE1289"/>
      <c r="FF1289"/>
      <c r="FG1289"/>
      <c r="FH1289"/>
      <c r="FI1289"/>
      <c r="FJ1289"/>
    </row>
    <row r="1290" spans="1:166" s="4" customFormat="1" x14ac:dyDescent="0.2">
      <c r="A1290" s="44"/>
      <c r="B1290" s="44"/>
      <c r="C1290" s="44"/>
      <c r="D1290" s="44"/>
      <c r="E1290" s="44"/>
      <c r="F1290" s="58"/>
      <c r="G1290" s="32"/>
      <c r="H1290" s="58"/>
      <c r="I1290" s="58"/>
      <c r="J1290" s="59"/>
      <c r="K1290" s="58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  <c r="DJ1290"/>
      <c r="DK1290"/>
      <c r="DL1290"/>
      <c r="DM1290"/>
      <c r="DN1290"/>
      <c r="DO1290"/>
      <c r="DP1290"/>
      <c r="DQ1290"/>
      <c r="DR1290"/>
      <c r="DS1290"/>
      <c r="DT1290"/>
      <c r="DU1290"/>
      <c r="DV1290"/>
      <c r="DW1290"/>
      <c r="DX1290"/>
      <c r="DY1290"/>
      <c r="DZ1290"/>
      <c r="EA1290"/>
      <c r="EB1290"/>
      <c r="EC1290"/>
      <c r="ED1290"/>
      <c r="EE1290"/>
      <c r="EF1290"/>
      <c r="EG1290"/>
      <c r="EH1290"/>
      <c r="EI1290"/>
      <c r="EJ1290"/>
      <c r="EK1290"/>
      <c r="EL1290"/>
      <c r="EM1290"/>
      <c r="EN1290"/>
      <c r="EO1290"/>
      <c r="EP1290"/>
      <c r="EQ1290"/>
      <c r="ER1290"/>
      <c r="ES1290"/>
      <c r="ET1290"/>
      <c r="EU1290"/>
      <c r="EV1290"/>
      <c r="EW1290"/>
      <c r="EX1290"/>
      <c r="EY1290"/>
      <c r="EZ1290"/>
      <c r="FA1290"/>
      <c r="FB1290"/>
      <c r="FC1290"/>
      <c r="FD1290"/>
      <c r="FE1290"/>
      <c r="FF1290"/>
      <c r="FG1290"/>
      <c r="FH1290"/>
      <c r="FI1290"/>
      <c r="FJ1290"/>
    </row>
    <row r="1291" spans="1:166" s="4" customFormat="1" x14ac:dyDescent="0.2">
      <c r="A1291" s="44"/>
      <c r="B1291" s="44"/>
      <c r="C1291" s="44"/>
      <c r="D1291" s="44"/>
      <c r="E1291" s="44"/>
      <c r="F1291" s="58"/>
      <c r="G1291" s="32"/>
      <c r="H1291" s="58"/>
      <c r="I1291" s="58"/>
      <c r="J1291" s="59"/>
      <c r="K1291" s="58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  <c r="DJ1291"/>
      <c r="DK1291"/>
      <c r="DL1291"/>
      <c r="DM1291"/>
      <c r="DN1291"/>
      <c r="DO1291"/>
      <c r="DP1291"/>
      <c r="DQ1291"/>
      <c r="DR1291"/>
      <c r="DS1291"/>
      <c r="DT1291"/>
      <c r="DU1291"/>
      <c r="DV1291"/>
      <c r="DW1291"/>
      <c r="DX1291"/>
      <c r="DY1291"/>
      <c r="DZ1291"/>
      <c r="EA1291"/>
      <c r="EB1291"/>
      <c r="EC1291"/>
      <c r="ED1291"/>
      <c r="EE1291"/>
      <c r="EF1291"/>
      <c r="EG1291"/>
      <c r="EH1291"/>
      <c r="EI1291"/>
      <c r="EJ1291"/>
      <c r="EK1291"/>
      <c r="EL1291"/>
      <c r="EM1291"/>
      <c r="EN1291"/>
      <c r="EO1291"/>
      <c r="EP1291"/>
      <c r="EQ1291"/>
      <c r="ER1291"/>
      <c r="ES1291"/>
      <c r="ET1291"/>
      <c r="EU1291"/>
      <c r="EV1291"/>
      <c r="EW1291"/>
      <c r="EX1291"/>
      <c r="EY1291"/>
      <c r="EZ1291"/>
      <c r="FA1291"/>
      <c r="FB1291"/>
      <c r="FC1291"/>
      <c r="FD1291"/>
      <c r="FE1291"/>
      <c r="FF1291"/>
      <c r="FG1291"/>
      <c r="FH1291"/>
      <c r="FI1291"/>
      <c r="FJ1291"/>
    </row>
    <row r="1292" spans="1:166" s="4" customFormat="1" x14ac:dyDescent="0.2">
      <c r="A1292" s="44"/>
      <c r="B1292" s="44"/>
      <c r="C1292" s="44"/>
      <c r="D1292" s="44"/>
      <c r="E1292" s="44"/>
      <c r="F1292" s="58"/>
      <c r="G1292" s="32"/>
      <c r="H1292" s="58"/>
      <c r="I1292" s="58"/>
      <c r="J1292" s="59"/>
      <c r="K1292" s="58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  <c r="DJ1292"/>
      <c r="DK1292"/>
      <c r="DL1292"/>
      <c r="DM1292"/>
      <c r="DN1292"/>
      <c r="DO1292"/>
      <c r="DP1292"/>
      <c r="DQ1292"/>
      <c r="DR1292"/>
      <c r="DS1292"/>
      <c r="DT1292"/>
      <c r="DU1292"/>
      <c r="DV1292"/>
      <c r="DW1292"/>
      <c r="DX1292"/>
      <c r="DY1292"/>
      <c r="DZ1292"/>
      <c r="EA1292"/>
      <c r="EB1292"/>
      <c r="EC1292"/>
      <c r="ED1292"/>
      <c r="EE1292"/>
      <c r="EF1292"/>
      <c r="EG1292"/>
      <c r="EH1292"/>
      <c r="EI1292"/>
      <c r="EJ1292"/>
      <c r="EK1292"/>
      <c r="EL1292"/>
      <c r="EM1292"/>
      <c r="EN1292"/>
      <c r="EO1292"/>
      <c r="EP1292"/>
      <c r="EQ1292"/>
      <c r="ER1292"/>
      <c r="ES1292"/>
      <c r="ET1292"/>
      <c r="EU1292"/>
      <c r="EV1292"/>
      <c r="EW1292"/>
      <c r="EX1292"/>
      <c r="EY1292"/>
      <c r="EZ1292"/>
      <c r="FA1292"/>
      <c r="FB1292"/>
      <c r="FC1292"/>
      <c r="FD1292"/>
      <c r="FE1292"/>
      <c r="FF1292"/>
      <c r="FG1292"/>
      <c r="FH1292"/>
      <c r="FI1292"/>
      <c r="FJ1292"/>
    </row>
    <row r="1293" spans="1:166" s="4" customFormat="1" x14ac:dyDescent="0.2">
      <c r="A1293" s="44"/>
      <c r="B1293" s="44"/>
      <c r="C1293" s="44"/>
      <c r="D1293" s="44"/>
      <c r="E1293" s="44"/>
      <c r="F1293" s="58"/>
      <c r="G1293" s="32"/>
      <c r="H1293" s="58"/>
      <c r="I1293" s="58"/>
      <c r="J1293" s="59"/>
      <c r="K1293" s="58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  <c r="DJ1293"/>
      <c r="DK1293"/>
      <c r="DL1293"/>
      <c r="DM1293"/>
      <c r="DN1293"/>
      <c r="DO1293"/>
      <c r="DP1293"/>
      <c r="DQ1293"/>
      <c r="DR1293"/>
      <c r="DS1293"/>
      <c r="DT1293"/>
      <c r="DU1293"/>
      <c r="DV1293"/>
      <c r="DW1293"/>
      <c r="DX1293"/>
      <c r="DY1293"/>
      <c r="DZ1293"/>
      <c r="EA1293"/>
      <c r="EB1293"/>
      <c r="EC1293"/>
      <c r="ED1293"/>
      <c r="EE1293"/>
      <c r="EF1293"/>
      <c r="EG1293"/>
      <c r="EH1293"/>
      <c r="EI1293"/>
      <c r="EJ1293"/>
      <c r="EK1293"/>
      <c r="EL1293"/>
      <c r="EM1293"/>
      <c r="EN1293"/>
      <c r="EO1293"/>
      <c r="EP1293"/>
      <c r="EQ1293"/>
      <c r="ER1293"/>
      <c r="ES1293"/>
      <c r="ET1293"/>
      <c r="EU1293"/>
      <c r="EV1293"/>
      <c r="EW1293"/>
      <c r="EX1293"/>
      <c r="EY1293"/>
      <c r="EZ1293"/>
      <c r="FA1293"/>
      <c r="FB1293"/>
      <c r="FC1293"/>
      <c r="FD1293"/>
      <c r="FE1293"/>
      <c r="FF1293"/>
      <c r="FG1293"/>
      <c r="FH1293"/>
      <c r="FI1293"/>
      <c r="FJ1293"/>
    </row>
    <row r="1294" spans="1:166" s="4" customFormat="1" x14ac:dyDescent="0.2">
      <c r="A1294" s="44"/>
      <c r="B1294" s="44"/>
      <c r="C1294" s="44"/>
      <c r="D1294" s="44"/>
      <c r="E1294" s="44"/>
      <c r="F1294" s="58"/>
      <c r="G1294" s="32"/>
      <c r="H1294" s="58"/>
      <c r="I1294" s="58"/>
      <c r="J1294" s="59"/>
      <c r="K1294" s="58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  <c r="DJ1294"/>
      <c r="DK1294"/>
      <c r="DL1294"/>
      <c r="DM1294"/>
      <c r="DN1294"/>
      <c r="DO1294"/>
      <c r="DP1294"/>
      <c r="DQ1294"/>
      <c r="DR1294"/>
      <c r="DS1294"/>
      <c r="DT1294"/>
      <c r="DU1294"/>
      <c r="DV1294"/>
      <c r="DW1294"/>
      <c r="DX1294"/>
      <c r="DY1294"/>
      <c r="DZ1294"/>
      <c r="EA1294"/>
      <c r="EB1294"/>
      <c r="EC1294"/>
      <c r="ED1294"/>
      <c r="EE1294"/>
      <c r="EF1294"/>
      <c r="EG1294"/>
      <c r="EH1294"/>
      <c r="EI1294"/>
      <c r="EJ1294"/>
      <c r="EK1294"/>
      <c r="EL1294"/>
      <c r="EM1294"/>
      <c r="EN1294"/>
      <c r="EO1294"/>
      <c r="EP1294"/>
      <c r="EQ1294"/>
      <c r="ER1294"/>
      <c r="ES1294"/>
      <c r="ET1294"/>
      <c r="EU1294"/>
      <c r="EV1294"/>
      <c r="EW1294"/>
      <c r="EX1294"/>
      <c r="EY1294"/>
      <c r="EZ1294"/>
      <c r="FA1294"/>
      <c r="FB1294"/>
      <c r="FC1294"/>
      <c r="FD1294"/>
      <c r="FE1294"/>
      <c r="FF1294"/>
      <c r="FG1294"/>
      <c r="FH1294"/>
      <c r="FI1294"/>
      <c r="FJ1294"/>
    </row>
    <row r="1295" spans="1:166" s="4" customFormat="1" x14ac:dyDescent="0.2">
      <c r="A1295" s="44"/>
      <c r="B1295" s="44"/>
      <c r="C1295" s="44"/>
      <c r="D1295" s="44"/>
      <c r="E1295" s="44"/>
      <c r="F1295" s="58"/>
      <c r="G1295" s="32"/>
      <c r="H1295" s="58"/>
      <c r="I1295" s="58"/>
      <c r="J1295" s="59"/>
      <c r="K1295" s="58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  <c r="DJ1295"/>
      <c r="DK1295"/>
      <c r="DL1295"/>
      <c r="DM1295"/>
      <c r="DN1295"/>
      <c r="DO1295"/>
      <c r="DP1295"/>
      <c r="DQ1295"/>
      <c r="DR1295"/>
      <c r="DS1295"/>
      <c r="DT1295"/>
      <c r="DU1295"/>
      <c r="DV1295"/>
      <c r="DW1295"/>
      <c r="DX1295"/>
      <c r="DY1295"/>
      <c r="DZ1295"/>
      <c r="EA1295"/>
      <c r="EB1295"/>
      <c r="EC1295"/>
      <c r="ED1295"/>
      <c r="EE1295"/>
      <c r="EF1295"/>
      <c r="EG1295"/>
      <c r="EH1295"/>
      <c r="EI1295"/>
      <c r="EJ1295"/>
      <c r="EK1295"/>
      <c r="EL1295"/>
      <c r="EM1295"/>
      <c r="EN1295"/>
      <c r="EO1295"/>
      <c r="EP1295"/>
      <c r="EQ1295"/>
      <c r="ER1295"/>
      <c r="ES1295"/>
      <c r="ET1295"/>
      <c r="EU1295"/>
      <c r="EV1295"/>
      <c r="EW1295"/>
      <c r="EX1295"/>
      <c r="EY1295"/>
      <c r="EZ1295"/>
      <c r="FA1295"/>
      <c r="FB1295"/>
      <c r="FC1295"/>
      <c r="FD1295"/>
      <c r="FE1295"/>
      <c r="FF1295"/>
      <c r="FG1295"/>
      <c r="FH1295"/>
      <c r="FI1295"/>
      <c r="FJ1295"/>
    </row>
    <row r="1296" spans="1:166" s="4" customFormat="1" x14ac:dyDescent="0.2">
      <c r="A1296" s="44"/>
      <c r="B1296" s="44"/>
      <c r="C1296" s="44"/>
      <c r="D1296" s="44"/>
      <c r="E1296" s="44"/>
      <c r="F1296" s="58"/>
      <c r="G1296" s="32"/>
      <c r="H1296" s="58"/>
      <c r="I1296" s="58"/>
      <c r="J1296" s="59"/>
      <c r="K1296" s="58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  <c r="DJ1296"/>
      <c r="DK1296"/>
      <c r="DL1296"/>
      <c r="DM1296"/>
      <c r="DN1296"/>
      <c r="DO1296"/>
      <c r="DP1296"/>
      <c r="DQ1296"/>
      <c r="DR1296"/>
      <c r="DS1296"/>
      <c r="DT1296"/>
      <c r="DU1296"/>
      <c r="DV1296"/>
      <c r="DW1296"/>
      <c r="DX1296"/>
      <c r="DY1296"/>
      <c r="DZ1296"/>
      <c r="EA1296"/>
      <c r="EB1296"/>
      <c r="EC1296"/>
      <c r="ED1296"/>
      <c r="EE1296"/>
      <c r="EF1296"/>
      <c r="EG1296"/>
      <c r="EH1296"/>
      <c r="EI1296"/>
      <c r="EJ1296"/>
      <c r="EK1296"/>
      <c r="EL1296"/>
      <c r="EM1296"/>
      <c r="EN1296"/>
      <c r="EO1296"/>
      <c r="EP1296"/>
      <c r="EQ1296"/>
      <c r="ER1296"/>
      <c r="ES1296"/>
      <c r="ET1296"/>
      <c r="EU1296"/>
      <c r="EV1296"/>
      <c r="EW1296"/>
      <c r="EX1296"/>
      <c r="EY1296"/>
      <c r="EZ1296"/>
      <c r="FA1296"/>
      <c r="FB1296"/>
      <c r="FC1296"/>
      <c r="FD1296"/>
      <c r="FE1296"/>
      <c r="FF1296"/>
      <c r="FG1296"/>
      <c r="FH1296"/>
      <c r="FI1296"/>
      <c r="FJ1296"/>
    </row>
    <row r="1297" spans="1:166" s="4" customFormat="1" x14ac:dyDescent="0.2">
      <c r="A1297" s="44"/>
      <c r="B1297" s="44"/>
      <c r="C1297" s="44"/>
      <c r="D1297" s="44"/>
      <c r="E1297" s="44"/>
      <c r="F1297" s="58"/>
      <c r="G1297" s="32"/>
      <c r="H1297" s="58"/>
      <c r="I1297" s="58"/>
      <c r="J1297" s="59"/>
      <c r="K1297" s="58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  <c r="DJ1297"/>
      <c r="DK1297"/>
      <c r="DL1297"/>
      <c r="DM1297"/>
      <c r="DN1297"/>
      <c r="DO1297"/>
      <c r="DP1297"/>
      <c r="DQ1297"/>
      <c r="DR1297"/>
      <c r="DS1297"/>
      <c r="DT1297"/>
      <c r="DU1297"/>
      <c r="DV1297"/>
      <c r="DW1297"/>
      <c r="DX1297"/>
      <c r="DY1297"/>
      <c r="DZ1297"/>
      <c r="EA1297"/>
      <c r="EB1297"/>
      <c r="EC1297"/>
      <c r="ED1297"/>
      <c r="EE1297"/>
      <c r="EF1297"/>
      <c r="EG1297"/>
      <c r="EH1297"/>
      <c r="EI1297"/>
      <c r="EJ1297"/>
      <c r="EK1297"/>
      <c r="EL1297"/>
      <c r="EM1297"/>
      <c r="EN1297"/>
      <c r="EO1297"/>
      <c r="EP1297"/>
      <c r="EQ1297"/>
      <c r="ER1297"/>
      <c r="ES1297"/>
      <c r="ET1297"/>
      <c r="EU1297"/>
      <c r="EV1297"/>
      <c r="EW1297"/>
      <c r="EX1297"/>
      <c r="EY1297"/>
      <c r="EZ1297"/>
      <c r="FA1297"/>
      <c r="FB1297"/>
      <c r="FC1297"/>
      <c r="FD1297"/>
      <c r="FE1297"/>
      <c r="FF1297"/>
      <c r="FG1297"/>
      <c r="FH1297"/>
      <c r="FI1297"/>
      <c r="FJ1297"/>
    </row>
    <row r="1298" spans="1:166" s="4" customFormat="1" x14ac:dyDescent="0.2">
      <c r="A1298" s="44"/>
      <c r="B1298" s="44"/>
      <c r="C1298" s="44"/>
      <c r="D1298" s="44"/>
      <c r="E1298" s="44"/>
      <c r="F1298" s="58"/>
      <c r="G1298" s="32"/>
      <c r="H1298" s="58"/>
      <c r="I1298" s="58"/>
      <c r="J1298" s="59"/>
      <c r="K1298" s="5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  <c r="DJ1298"/>
      <c r="DK1298"/>
      <c r="DL1298"/>
      <c r="DM1298"/>
      <c r="DN1298"/>
      <c r="DO1298"/>
      <c r="DP1298"/>
      <c r="DQ1298"/>
      <c r="DR1298"/>
      <c r="DS1298"/>
      <c r="DT1298"/>
      <c r="DU1298"/>
      <c r="DV1298"/>
      <c r="DW1298"/>
      <c r="DX1298"/>
      <c r="DY1298"/>
      <c r="DZ1298"/>
      <c r="EA1298"/>
      <c r="EB1298"/>
      <c r="EC1298"/>
      <c r="ED1298"/>
      <c r="EE1298"/>
      <c r="EF1298"/>
      <c r="EG1298"/>
      <c r="EH1298"/>
      <c r="EI1298"/>
      <c r="EJ1298"/>
      <c r="EK1298"/>
      <c r="EL1298"/>
      <c r="EM1298"/>
      <c r="EN1298"/>
      <c r="EO1298"/>
      <c r="EP1298"/>
      <c r="EQ1298"/>
      <c r="ER1298"/>
      <c r="ES1298"/>
      <c r="ET1298"/>
      <c r="EU1298"/>
      <c r="EV1298"/>
      <c r="EW1298"/>
      <c r="EX1298"/>
      <c r="EY1298"/>
      <c r="EZ1298"/>
      <c r="FA1298"/>
      <c r="FB1298"/>
      <c r="FC1298"/>
      <c r="FD1298"/>
      <c r="FE1298"/>
      <c r="FF1298"/>
      <c r="FG1298"/>
      <c r="FH1298"/>
      <c r="FI1298"/>
      <c r="FJ1298"/>
    </row>
    <row r="1299" spans="1:166" s="4" customFormat="1" x14ac:dyDescent="0.2">
      <c r="A1299" s="44"/>
      <c r="B1299" s="44"/>
      <c r="C1299" s="44"/>
      <c r="D1299" s="44"/>
      <c r="E1299" s="44"/>
      <c r="F1299" s="58"/>
      <c r="G1299" s="32"/>
      <c r="H1299" s="58"/>
      <c r="I1299" s="58"/>
      <c r="J1299" s="59"/>
      <c r="K1299" s="58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  <c r="DJ1299"/>
      <c r="DK1299"/>
      <c r="DL1299"/>
      <c r="DM1299"/>
      <c r="DN1299"/>
      <c r="DO1299"/>
      <c r="DP1299"/>
      <c r="DQ1299"/>
      <c r="DR1299"/>
      <c r="DS1299"/>
      <c r="DT1299"/>
      <c r="DU1299"/>
      <c r="DV1299"/>
      <c r="DW1299"/>
      <c r="DX1299"/>
      <c r="DY1299"/>
      <c r="DZ1299"/>
      <c r="EA1299"/>
      <c r="EB1299"/>
      <c r="EC1299"/>
      <c r="ED1299"/>
      <c r="EE1299"/>
      <c r="EF1299"/>
      <c r="EG1299"/>
      <c r="EH1299"/>
      <c r="EI1299"/>
      <c r="EJ1299"/>
      <c r="EK1299"/>
      <c r="EL1299"/>
      <c r="EM1299"/>
      <c r="EN1299"/>
      <c r="EO1299"/>
      <c r="EP1299"/>
      <c r="EQ1299"/>
      <c r="ER1299"/>
      <c r="ES1299"/>
      <c r="ET1299"/>
      <c r="EU1299"/>
      <c r="EV1299"/>
      <c r="EW1299"/>
      <c r="EX1299"/>
      <c r="EY1299"/>
      <c r="EZ1299"/>
      <c r="FA1299"/>
      <c r="FB1299"/>
      <c r="FC1299"/>
      <c r="FD1299"/>
      <c r="FE1299"/>
      <c r="FF1299"/>
      <c r="FG1299"/>
      <c r="FH1299"/>
      <c r="FI1299"/>
      <c r="FJ1299"/>
    </row>
    <row r="1300" spans="1:166" s="4" customFormat="1" x14ac:dyDescent="0.2">
      <c r="A1300" s="44"/>
      <c r="B1300" s="44"/>
      <c r="C1300" s="44"/>
      <c r="D1300" s="44"/>
      <c r="E1300" s="44"/>
      <c r="F1300" s="58"/>
      <c r="G1300" s="32"/>
      <c r="H1300" s="58"/>
      <c r="I1300" s="58"/>
      <c r="J1300" s="59"/>
      <c r="K1300" s="58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  <c r="DJ1300"/>
      <c r="DK1300"/>
      <c r="DL1300"/>
      <c r="DM1300"/>
      <c r="DN1300"/>
      <c r="DO1300"/>
      <c r="DP1300"/>
      <c r="DQ1300"/>
      <c r="DR1300"/>
      <c r="DS1300"/>
      <c r="DT1300"/>
      <c r="DU1300"/>
      <c r="DV1300"/>
      <c r="DW1300"/>
      <c r="DX1300"/>
      <c r="DY1300"/>
      <c r="DZ1300"/>
      <c r="EA1300"/>
      <c r="EB1300"/>
      <c r="EC1300"/>
      <c r="ED1300"/>
      <c r="EE1300"/>
      <c r="EF1300"/>
      <c r="EG1300"/>
      <c r="EH1300"/>
      <c r="EI1300"/>
      <c r="EJ1300"/>
      <c r="EK1300"/>
      <c r="EL1300"/>
      <c r="EM1300"/>
      <c r="EN1300"/>
      <c r="EO1300"/>
      <c r="EP1300"/>
      <c r="EQ1300"/>
      <c r="ER1300"/>
      <c r="ES1300"/>
      <c r="ET1300"/>
      <c r="EU1300"/>
      <c r="EV1300"/>
      <c r="EW1300"/>
      <c r="EX1300"/>
      <c r="EY1300"/>
      <c r="EZ1300"/>
      <c r="FA1300"/>
      <c r="FB1300"/>
      <c r="FC1300"/>
      <c r="FD1300"/>
      <c r="FE1300"/>
      <c r="FF1300"/>
      <c r="FG1300"/>
      <c r="FH1300"/>
      <c r="FI1300"/>
      <c r="FJ1300"/>
    </row>
    <row r="1301" spans="1:166" s="4" customFormat="1" x14ac:dyDescent="0.2">
      <c r="A1301" s="44"/>
      <c r="B1301" s="44"/>
      <c r="C1301" s="44"/>
      <c r="D1301" s="44"/>
      <c r="E1301" s="44"/>
      <c r="F1301" s="58"/>
      <c r="G1301" s="32"/>
      <c r="H1301" s="58"/>
      <c r="I1301" s="58"/>
      <c r="J1301" s="59"/>
      <c r="K1301" s="58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  <c r="DJ1301"/>
      <c r="DK1301"/>
      <c r="DL1301"/>
      <c r="DM1301"/>
      <c r="DN1301"/>
      <c r="DO1301"/>
      <c r="DP1301"/>
      <c r="DQ1301"/>
      <c r="DR1301"/>
      <c r="DS1301"/>
      <c r="DT1301"/>
      <c r="DU1301"/>
      <c r="DV1301"/>
      <c r="DW1301"/>
      <c r="DX1301"/>
      <c r="DY1301"/>
      <c r="DZ1301"/>
      <c r="EA1301"/>
      <c r="EB1301"/>
      <c r="EC1301"/>
      <c r="ED1301"/>
      <c r="EE1301"/>
      <c r="EF1301"/>
      <c r="EG1301"/>
      <c r="EH1301"/>
      <c r="EI1301"/>
      <c r="EJ1301"/>
      <c r="EK1301"/>
      <c r="EL1301"/>
      <c r="EM1301"/>
      <c r="EN1301"/>
      <c r="EO1301"/>
      <c r="EP1301"/>
      <c r="EQ1301"/>
      <c r="ER1301"/>
      <c r="ES1301"/>
      <c r="ET1301"/>
      <c r="EU1301"/>
      <c r="EV1301"/>
      <c r="EW1301"/>
      <c r="EX1301"/>
      <c r="EY1301"/>
      <c r="EZ1301"/>
      <c r="FA1301"/>
      <c r="FB1301"/>
      <c r="FC1301"/>
      <c r="FD1301"/>
      <c r="FE1301"/>
      <c r="FF1301"/>
      <c r="FG1301"/>
      <c r="FH1301"/>
      <c r="FI1301"/>
      <c r="FJ1301"/>
    </row>
    <row r="1302" spans="1:166" s="4" customFormat="1" x14ac:dyDescent="0.2">
      <c r="A1302" s="44"/>
      <c r="B1302" s="44"/>
      <c r="C1302" s="44"/>
      <c r="D1302" s="44"/>
      <c r="E1302" s="44"/>
      <c r="F1302" s="58"/>
      <c r="G1302" s="32"/>
      <c r="H1302" s="58"/>
      <c r="I1302" s="58"/>
      <c r="J1302" s="59"/>
      <c r="K1302" s="58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  <c r="DJ1302"/>
      <c r="DK1302"/>
      <c r="DL1302"/>
      <c r="DM1302"/>
      <c r="DN1302"/>
      <c r="DO1302"/>
      <c r="DP1302"/>
      <c r="DQ1302"/>
      <c r="DR1302"/>
      <c r="DS1302"/>
      <c r="DT1302"/>
      <c r="DU1302"/>
      <c r="DV1302"/>
      <c r="DW1302"/>
      <c r="DX1302"/>
      <c r="DY1302"/>
      <c r="DZ1302"/>
      <c r="EA1302"/>
      <c r="EB1302"/>
      <c r="EC1302"/>
      <c r="ED1302"/>
      <c r="EE1302"/>
      <c r="EF1302"/>
      <c r="EG1302"/>
      <c r="EH1302"/>
      <c r="EI1302"/>
      <c r="EJ1302"/>
      <c r="EK1302"/>
      <c r="EL1302"/>
      <c r="EM1302"/>
      <c r="EN1302"/>
      <c r="EO1302"/>
      <c r="EP1302"/>
      <c r="EQ1302"/>
      <c r="ER1302"/>
      <c r="ES1302"/>
      <c r="ET1302"/>
      <c r="EU1302"/>
      <c r="EV1302"/>
      <c r="EW1302"/>
      <c r="EX1302"/>
      <c r="EY1302"/>
      <c r="EZ1302"/>
      <c r="FA1302"/>
      <c r="FB1302"/>
      <c r="FC1302"/>
      <c r="FD1302"/>
      <c r="FE1302"/>
      <c r="FF1302"/>
      <c r="FG1302"/>
      <c r="FH1302"/>
      <c r="FI1302"/>
      <c r="FJ1302"/>
    </row>
    <row r="1303" spans="1:166" s="4" customFormat="1" x14ac:dyDescent="0.2">
      <c r="A1303" s="44"/>
      <c r="B1303" s="44"/>
      <c r="C1303" s="44"/>
      <c r="D1303" s="44"/>
      <c r="E1303" s="44"/>
      <c r="F1303" s="58"/>
      <c r="G1303" s="32"/>
      <c r="H1303" s="58"/>
      <c r="I1303" s="58"/>
      <c r="J1303" s="59"/>
      <c r="K1303" s="58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  <c r="DJ1303"/>
      <c r="DK1303"/>
      <c r="DL1303"/>
      <c r="DM1303"/>
      <c r="DN1303"/>
      <c r="DO1303"/>
      <c r="DP1303"/>
      <c r="DQ1303"/>
      <c r="DR1303"/>
      <c r="DS1303"/>
      <c r="DT1303"/>
      <c r="DU1303"/>
      <c r="DV1303"/>
      <c r="DW1303"/>
      <c r="DX1303"/>
      <c r="DY1303"/>
      <c r="DZ1303"/>
      <c r="EA1303"/>
      <c r="EB1303"/>
      <c r="EC1303"/>
      <c r="ED1303"/>
      <c r="EE1303"/>
      <c r="EF1303"/>
      <c r="EG1303"/>
      <c r="EH1303"/>
      <c r="EI1303"/>
      <c r="EJ1303"/>
      <c r="EK1303"/>
      <c r="EL1303"/>
      <c r="EM1303"/>
      <c r="EN1303"/>
      <c r="EO1303"/>
      <c r="EP1303"/>
      <c r="EQ1303"/>
      <c r="ER1303"/>
      <c r="ES1303"/>
      <c r="ET1303"/>
      <c r="EU1303"/>
      <c r="EV1303"/>
      <c r="EW1303"/>
      <c r="EX1303"/>
      <c r="EY1303"/>
      <c r="EZ1303"/>
      <c r="FA1303"/>
      <c r="FB1303"/>
      <c r="FC1303"/>
      <c r="FD1303"/>
      <c r="FE1303"/>
      <c r="FF1303"/>
      <c r="FG1303"/>
      <c r="FH1303"/>
      <c r="FI1303"/>
      <c r="FJ1303"/>
    </row>
    <row r="1304" spans="1:166" s="4" customFormat="1" x14ac:dyDescent="0.2">
      <c r="A1304" s="44"/>
      <c r="B1304" s="44"/>
      <c r="C1304" s="44"/>
      <c r="D1304" s="44"/>
      <c r="E1304" s="44"/>
      <c r="F1304" s="58"/>
      <c r="G1304" s="32"/>
      <c r="H1304" s="58"/>
      <c r="I1304" s="58"/>
      <c r="J1304" s="59"/>
      <c r="K1304" s="58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  <c r="DJ1304"/>
      <c r="DK1304"/>
      <c r="DL1304"/>
      <c r="DM1304"/>
      <c r="DN1304"/>
      <c r="DO1304"/>
      <c r="DP1304"/>
      <c r="DQ1304"/>
      <c r="DR1304"/>
      <c r="DS1304"/>
      <c r="DT1304"/>
      <c r="DU1304"/>
      <c r="DV1304"/>
      <c r="DW1304"/>
      <c r="DX1304"/>
      <c r="DY1304"/>
      <c r="DZ1304"/>
      <c r="EA1304"/>
      <c r="EB1304"/>
      <c r="EC1304"/>
      <c r="ED1304"/>
      <c r="EE1304"/>
      <c r="EF1304"/>
      <c r="EG1304"/>
      <c r="EH1304"/>
      <c r="EI1304"/>
      <c r="EJ1304"/>
      <c r="EK1304"/>
      <c r="EL1304"/>
      <c r="EM1304"/>
      <c r="EN1304"/>
      <c r="EO1304"/>
      <c r="EP1304"/>
      <c r="EQ1304"/>
      <c r="ER1304"/>
      <c r="ES1304"/>
      <c r="ET1304"/>
      <c r="EU1304"/>
      <c r="EV1304"/>
      <c r="EW1304"/>
      <c r="EX1304"/>
      <c r="EY1304"/>
      <c r="EZ1304"/>
      <c r="FA1304"/>
      <c r="FB1304"/>
      <c r="FC1304"/>
      <c r="FD1304"/>
      <c r="FE1304"/>
      <c r="FF1304"/>
      <c r="FG1304"/>
      <c r="FH1304"/>
      <c r="FI1304"/>
      <c r="FJ1304"/>
    </row>
    <row r="1305" spans="1:166" s="4" customFormat="1" x14ac:dyDescent="0.2">
      <c r="A1305" s="44"/>
      <c r="B1305" s="44"/>
      <c r="C1305" s="44"/>
      <c r="D1305" s="44"/>
      <c r="E1305" s="44"/>
      <c r="F1305" s="58"/>
      <c r="G1305" s="32"/>
      <c r="H1305" s="58"/>
      <c r="I1305" s="58"/>
      <c r="J1305" s="59"/>
      <c r="K1305" s="58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  <c r="DJ1305"/>
      <c r="DK1305"/>
      <c r="DL1305"/>
      <c r="DM1305"/>
      <c r="DN1305"/>
      <c r="DO1305"/>
      <c r="DP1305"/>
      <c r="DQ1305"/>
      <c r="DR1305"/>
      <c r="DS1305"/>
      <c r="DT1305"/>
      <c r="DU1305"/>
      <c r="DV1305"/>
      <c r="DW1305"/>
      <c r="DX1305"/>
      <c r="DY1305"/>
      <c r="DZ1305"/>
      <c r="EA1305"/>
      <c r="EB1305"/>
      <c r="EC1305"/>
      <c r="ED1305"/>
      <c r="EE1305"/>
      <c r="EF1305"/>
      <c r="EG1305"/>
      <c r="EH1305"/>
      <c r="EI1305"/>
      <c r="EJ1305"/>
      <c r="EK1305"/>
      <c r="EL1305"/>
      <c r="EM1305"/>
      <c r="EN1305"/>
      <c r="EO1305"/>
      <c r="EP1305"/>
      <c r="EQ1305"/>
      <c r="ER1305"/>
      <c r="ES1305"/>
      <c r="ET1305"/>
      <c r="EU1305"/>
      <c r="EV1305"/>
      <c r="EW1305"/>
      <c r="EX1305"/>
      <c r="EY1305"/>
      <c r="EZ1305"/>
      <c r="FA1305"/>
      <c r="FB1305"/>
      <c r="FC1305"/>
      <c r="FD1305"/>
      <c r="FE1305"/>
      <c r="FF1305"/>
      <c r="FG1305"/>
      <c r="FH1305"/>
      <c r="FI1305"/>
      <c r="FJ1305"/>
    </row>
    <row r="1306" spans="1:166" s="4" customFormat="1" x14ac:dyDescent="0.2">
      <c r="A1306" s="44"/>
      <c r="B1306" s="44"/>
      <c r="C1306" s="44"/>
      <c r="D1306" s="44"/>
      <c r="E1306" s="44"/>
      <c r="F1306" s="58"/>
      <c r="G1306" s="32"/>
      <c r="H1306" s="58"/>
      <c r="I1306" s="58"/>
      <c r="J1306" s="59"/>
      <c r="K1306" s="58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  <c r="DJ1306"/>
      <c r="DK1306"/>
      <c r="DL1306"/>
      <c r="DM1306"/>
      <c r="DN1306"/>
      <c r="DO1306"/>
      <c r="DP1306"/>
      <c r="DQ1306"/>
      <c r="DR1306"/>
      <c r="DS1306"/>
      <c r="DT1306"/>
      <c r="DU1306"/>
      <c r="DV1306"/>
      <c r="DW1306"/>
      <c r="DX1306"/>
      <c r="DY1306"/>
      <c r="DZ1306"/>
      <c r="EA1306"/>
      <c r="EB1306"/>
      <c r="EC1306"/>
      <c r="ED1306"/>
      <c r="EE1306"/>
      <c r="EF1306"/>
      <c r="EG1306"/>
      <c r="EH1306"/>
      <c r="EI1306"/>
      <c r="EJ1306"/>
      <c r="EK1306"/>
      <c r="EL1306"/>
      <c r="EM1306"/>
      <c r="EN1306"/>
      <c r="EO1306"/>
      <c r="EP1306"/>
      <c r="EQ1306"/>
      <c r="ER1306"/>
      <c r="ES1306"/>
      <c r="ET1306"/>
      <c r="EU1306"/>
      <c r="EV1306"/>
      <c r="EW1306"/>
      <c r="EX1306"/>
      <c r="EY1306"/>
      <c r="EZ1306"/>
      <c r="FA1306"/>
      <c r="FB1306"/>
      <c r="FC1306"/>
      <c r="FD1306"/>
      <c r="FE1306"/>
      <c r="FF1306"/>
      <c r="FG1306"/>
      <c r="FH1306"/>
      <c r="FI1306"/>
      <c r="FJ1306"/>
    </row>
    <row r="1307" spans="1:166" s="4" customFormat="1" x14ac:dyDescent="0.2">
      <c r="A1307" s="44"/>
      <c r="B1307" s="44"/>
      <c r="C1307" s="44"/>
      <c r="D1307" s="44"/>
      <c r="E1307" s="44"/>
      <c r="F1307" s="58"/>
      <c r="G1307" s="32"/>
      <c r="H1307" s="58"/>
      <c r="I1307" s="58"/>
      <c r="J1307" s="59"/>
      <c r="K1307" s="58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  <c r="DJ1307"/>
      <c r="DK1307"/>
      <c r="DL1307"/>
      <c r="DM1307"/>
      <c r="DN1307"/>
      <c r="DO1307"/>
      <c r="DP1307"/>
      <c r="DQ1307"/>
      <c r="DR1307"/>
      <c r="DS1307"/>
      <c r="DT1307"/>
      <c r="DU1307"/>
      <c r="DV1307"/>
      <c r="DW1307"/>
      <c r="DX1307"/>
      <c r="DY1307"/>
      <c r="DZ1307"/>
      <c r="EA1307"/>
      <c r="EB1307"/>
      <c r="EC1307"/>
      <c r="ED1307"/>
      <c r="EE1307"/>
      <c r="EF1307"/>
      <c r="EG1307"/>
      <c r="EH1307"/>
      <c r="EI1307"/>
      <c r="EJ1307"/>
      <c r="EK1307"/>
      <c r="EL1307"/>
      <c r="EM1307"/>
      <c r="EN1307"/>
      <c r="EO1307"/>
      <c r="EP1307"/>
      <c r="EQ1307"/>
      <c r="ER1307"/>
      <c r="ES1307"/>
      <c r="ET1307"/>
      <c r="EU1307"/>
      <c r="EV1307"/>
      <c r="EW1307"/>
      <c r="EX1307"/>
      <c r="EY1307"/>
      <c r="EZ1307"/>
      <c r="FA1307"/>
      <c r="FB1307"/>
      <c r="FC1307"/>
      <c r="FD1307"/>
      <c r="FE1307"/>
      <c r="FF1307"/>
      <c r="FG1307"/>
      <c r="FH1307"/>
      <c r="FI1307"/>
      <c r="FJ1307"/>
    </row>
    <row r="1308" spans="1:166" s="4" customFormat="1" x14ac:dyDescent="0.2">
      <c r="A1308" s="44"/>
      <c r="B1308" s="44"/>
      <c r="C1308" s="44"/>
      <c r="D1308" s="44"/>
      <c r="E1308" s="44"/>
      <c r="F1308" s="58"/>
      <c r="G1308" s="32"/>
      <c r="H1308" s="58"/>
      <c r="I1308" s="58"/>
      <c r="J1308" s="59"/>
      <c r="K1308" s="5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  <c r="DJ1308"/>
      <c r="DK1308"/>
      <c r="DL1308"/>
      <c r="DM1308"/>
      <c r="DN1308"/>
      <c r="DO1308"/>
      <c r="DP1308"/>
      <c r="DQ1308"/>
      <c r="DR1308"/>
      <c r="DS1308"/>
      <c r="DT1308"/>
      <c r="DU1308"/>
      <c r="DV1308"/>
      <c r="DW1308"/>
      <c r="DX1308"/>
      <c r="DY1308"/>
      <c r="DZ1308"/>
      <c r="EA1308"/>
      <c r="EB1308"/>
      <c r="EC1308"/>
      <c r="ED1308"/>
      <c r="EE1308"/>
      <c r="EF1308"/>
      <c r="EG1308"/>
      <c r="EH1308"/>
      <c r="EI1308"/>
      <c r="EJ1308"/>
      <c r="EK1308"/>
      <c r="EL1308"/>
      <c r="EM1308"/>
      <c r="EN1308"/>
      <c r="EO1308"/>
      <c r="EP1308"/>
      <c r="EQ1308"/>
      <c r="ER1308"/>
      <c r="ES1308"/>
      <c r="ET1308"/>
      <c r="EU1308"/>
      <c r="EV1308"/>
      <c r="EW1308"/>
      <c r="EX1308"/>
      <c r="EY1308"/>
      <c r="EZ1308"/>
      <c r="FA1308"/>
      <c r="FB1308"/>
      <c r="FC1308"/>
      <c r="FD1308"/>
      <c r="FE1308"/>
      <c r="FF1308"/>
      <c r="FG1308"/>
      <c r="FH1308"/>
      <c r="FI1308"/>
      <c r="FJ1308"/>
    </row>
    <row r="1309" spans="1:166" s="4" customFormat="1" x14ac:dyDescent="0.2">
      <c r="A1309" s="44"/>
      <c r="B1309" s="44"/>
      <c r="C1309" s="44"/>
      <c r="D1309" s="44"/>
      <c r="E1309" s="44"/>
      <c r="F1309" s="58"/>
      <c r="G1309" s="32"/>
      <c r="H1309" s="58"/>
      <c r="I1309" s="58"/>
      <c r="J1309" s="59"/>
      <c r="K1309" s="58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  <c r="DJ1309"/>
      <c r="DK1309"/>
      <c r="DL1309"/>
      <c r="DM1309"/>
      <c r="DN1309"/>
      <c r="DO1309"/>
      <c r="DP1309"/>
      <c r="DQ1309"/>
      <c r="DR1309"/>
      <c r="DS1309"/>
      <c r="DT1309"/>
      <c r="DU1309"/>
      <c r="DV1309"/>
      <c r="DW1309"/>
      <c r="DX1309"/>
      <c r="DY1309"/>
      <c r="DZ1309"/>
      <c r="EA1309"/>
      <c r="EB1309"/>
      <c r="EC1309"/>
      <c r="ED1309"/>
      <c r="EE1309"/>
      <c r="EF1309"/>
      <c r="EG1309"/>
      <c r="EH1309"/>
      <c r="EI1309"/>
      <c r="EJ1309"/>
      <c r="EK1309"/>
      <c r="EL1309"/>
      <c r="EM1309"/>
      <c r="EN1309"/>
      <c r="EO1309"/>
      <c r="EP1309"/>
      <c r="EQ1309"/>
      <c r="ER1309"/>
      <c r="ES1309"/>
      <c r="ET1309"/>
      <c r="EU1309"/>
      <c r="EV1309"/>
      <c r="EW1309"/>
      <c r="EX1309"/>
      <c r="EY1309"/>
      <c r="EZ1309"/>
      <c r="FA1309"/>
      <c r="FB1309"/>
      <c r="FC1309"/>
      <c r="FD1309"/>
      <c r="FE1309"/>
      <c r="FF1309"/>
      <c r="FG1309"/>
      <c r="FH1309"/>
      <c r="FI1309"/>
      <c r="FJ1309"/>
    </row>
    <row r="1310" spans="1:166" s="4" customFormat="1" x14ac:dyDescent="0.2">
      <c r="A1310" s="44"/>
      <c r="B1310" s="44"/>
      <c r="C1310" s="44"/>
      <c r="D1310" s="44"/>
      <c r="E1310" s="44"/>
      <c r="F1310" s="58"/>
      <c r="G1310" s="32"/>
      <c r="H1310" s="58"/>
      <c r="I1310" s="58"/>
      <c r="J1310" s="59"/>
      <c r="K1310" s="58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  <c r="DJ1310"/>
      <c r="DK1310"/>
      <c r="DL1310"/>
      <c r="DM1310"/>
      <c r="DN1310"/>
      <c r="DO1310"/>
      <c r="DP1310"/>
      <c r="DQ1310"/>
      <c r="DR1310"/>
      <c r="DS1310"/>
      <c r="DT1310"/>
      <c r="DU1310"/>
      <c r="DV1310"/>
      <c r="DW1310"/>
      <c r="DX1310"/>
      <c r="DY1310"/>
      <c r="DZ1310"/>
      <c r="EA1310"/>
      <c r="EB1310"/>
      <c r="EC1310"/>
      <c r="ED1310"/>
      <c r="EE1310"/>
      <c r="EF1310"/>
      <c r="EG1310"/>
      <c r="EH1310"/>
      <c r="EI1310"/>
      <c r="EJ1310"/>
      <c r="EK1310"/>
      <c r="EL1310"/>
      <c r="EM1310"/>
      <c r="EN1310"/>
      <c r="EO1310"/>
      <c r="EP1310"/>
      <c r="EQ1310"/>
      <c r="ER1310"/>
      <c r="ES1310"/>
      <c r="ET1310"/>
      <c r="EU1310"/>
      <c r="EV1310"/>
      <c r="EW1310"/>
      <c r="EX1310"/>
      <c r="EY1310"/>
      <c r="EZ1310"/>
      <c r="FA1310"/>
      <c r="FB1310"/>
      <c r="FC1310"/>
      <c r="FD1310"/>
      <c r="FE1310"/>
      <c r="FF1310"/>
      <c r="FG1310"/>
      <c r="FH1310"/>
      <c r="FI1310"/>
      <c r="FJ1310"/>
    </row>
    <row r="1311" spans="1:166" s="4" customFormat="1" x14ac:dyDescent="0.2">
      <c r="A1311" s="44"/>
      <c r="B1311" s="44"/>
      <c r="C1311" s="44"/>
      <c r="D1311" s="44"/>
      <c r="E1311" s="44"/>
      <c r="F1311" s="58"/>
      <c r="G1311" s="32"/>
      <c r="H1311" s="58"/>
      <c r="I1311" s="58"/>
      <c r="J1311" s="59"/>
      <c r="K1311" s="58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  <c r="DJ1311"/>
      <c r="DK1311"/>
      <c r="DL1311"/>
      <c r="DM1311"/>
      <c r="DN1311"/>
      <c r="DO1311"/>
      <c r="DP1311"/>
      <c r="DQ1311"/>
      <c r="DR1311"/>
      <c r="DS1311"/>
      <c r="DT1311"/>
      <c r="DU1311"/>
      <c r="DV1311"/>
      <c r="DW1311"/>
      <c r="DX1311"/>
      <c r="DY1311"/>
      <c r="DZ1311"/>
      <c r="EA1311"/>
      <c r="EB1311"/>
      <c r="EC1311"/>
      <c r="ED1311"/>
      <c r="EE1311"/>
      <c r="EF1311"/>
      <c r="EG1311"/>
      <c r="EH1311"/>
      <c r="EI1311"/>
      <c r="EJ1311"/>
      <c r="EK1311"/>
      <c r="EL1311"/>
      <c r="EM1311"/>
      <c r="EN1311"/>
      <c r="EO1311"/>
      <c r="EP1311"/>
      <c r="EQ1311"/>
      <c r="ER1311"/>
      <c r="ES1311"/>
      <c r="ET1311"/>
      <c r="EU1311"/>
      <c r="EV1311"/>
      <c r="EW1311"/>
      <c r="EX1311"/>
      <c r="EY1311"/>
      <c r="EZ1311"/>
      <c r="FA1311"/>
      <c r="FB1311"/>
      <c r="FC1311"/>
      <c r="FD1311"/>
      <c r="FE1311"/>
      <c r="FF1311"/>
      <c r="FG1311"/>
      <c r="FH1311"/>
      <c r="FI1311"/>
      <c r="FJ1311"/>
    </row>
    <row r="1312" spans="1:166" s="4" customFormat="1" x14ac:dyDescent="0.2">
      <c r="A1312" s="44"/>
      <c r="B1312" s="44"/>
      <c r="C1312" s="44"/>
      <c r="D1312" s="44"/>
      <c r="E1312" s="44"/>
      <c r="F1312" s="58"/>
      <c r="G1312" s="32"/>
      <c r="H1312" s="58"/>
      <c r="I1312" s="58"/>
      <c r="J1312" s="59"/>
      <c r="K1312" s="58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  <c r="DJ1312"/>
      <c r="DK1312"/>
      <c r="DL1312"/>
      <c r="DM1312"/>
      <c r="DN1312"/>
      <c r="DO1312"/>
      <c r="DP1312"/>
      <c r="DQ1312"/>
      <c r="DR1312"/>
      <c r="DS1312"/>
      <c r="DT1312"/>
      <c r="DU1312"/>
      <c r="DV1312"/>
      <c r="DW1312"/>
      <c r="DX1312"/>
      <c r="DY1312"/>
      <c r="DZ1312"/>
      <c r="EA1312"/>
      <c r="EB1312"/>
      <c r="EC1312"/>
      <c r="ED1312"/>
      <c r="EE1312"/>
      <c r="EF1312"/>
      <c r="EG1312"/>
      <c r="EH1312"/>
      <c r="EI1312"/>
      <c r="EJ1312"/>
      <c r="EK1312"/>
      <c r="EL1312"/>
      <c r="EM1312"/>
      <c r="EN1312"/>
      <c r="EO1312"/>
      <c r="EP1312"/>
      <c r="EQ1312"/>
      <c r="ER1312"/>
      <c r="ES1312"/>
      <c r="ET1312"/>
      <c r="EU1312"/>
      <c r="EV1312"/>
      <c r="EW1312"/>
      <c r="EX1312"/>
      <c r="EY1312"/>
      <c r="EZ1312"/>
      <c r="FA1312"/>
      <c r="FB1312"/>
      <c r="FC1312"/>
      <c r="FD1312"/>
      <c r="FE1312"/>
      <c r="FF1312"/>
      <c r="FG1312"/>
      <c r="FH1312"/>
      <c r="FI1312"/>
      <c r="FJ1312"/>
    </row>
    <row r="1313" spans="1:166" s="4" customFormat="1" x14ac:dyDescent="0.2">
      <c r="A1313" s="44"/>
      <c r="B1313" s="44"/>
      <c r="C1313" s="44"/>
      <c r="D1313" s="44"/>
      <c r="E1313" s="44"/>
      <c r="F1313" s="58"/>
      <c r="G1313" s="32"/>
      <c r="H1313" s="58"/>
      <c r="I1313" s="58"/>
      <c r="J1313" s="59"/>
      <c r="K1313" s="58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  <c r="DJ1313"/>
      <c r="DK1313"/>
      <c r="DL1313"/>
      <c r="DM1313"/>
      <c r="DN1313"/>
      <c r="DO1313"/>
      <c r="DP1313"/>
      <c r="DQ1313"/>
      <c r="DR1313"/>
      <c r="DS1313"/>
      <c r="DT1313"/>
      <c r="DU1313"/>
      <c r="DV1313"/>
      <c r="DW1313"/>
      <c r="DX1313"/>
      <c r="DY1313"/>
      <c r="DZ1313"/>
      <c r="EA1313"/>
      <c r="EB1313"/>
      <c r="EC1313"/>
      <c r="ED1313"/>
      <c r="EE1313"/>
      <c r="EF1313"/>
      <c r="EG1313"/>
      <c r="EH1313"/>
      <c r="EI1313"/>
      <c r="EJ1313"/>
      <c r="EK1313"/>
      <c r="EL1313"/>
      <c r="EM1313"/>
      <c r="EN1313"/>
      <c r="EO1313"/>
      <c r="EP1313"/>
      <c r="EQ1313"/>
      <c r="ER1313"/>
      <c r="ES1313"/>
      <c r="ET1313"/>
      <c r="EU1313"/>
      <c r="EV1313"/>
      <c r="EW1313"/>
      <c r="EX1313"/>
      <c r="EY1313"/>
      <c r="EZ1313"/>
      <c r="FA1313"/>
      <c r="FB1313"/>
      <c r="FC1313"/>
      <c r="FD1313"/>
      <c r="FE1313"/>
      <c r="FF1313"/>
      <c r="FG1313"/>
      <c r="FH1313"/>
      <c r="FI1313"/>
      <c r="FJ1313"/>
    </row>
    <row r="1314" spans="1:166" s="4" customFormat="1" x14ac:dyDescent="0.2">
      <c r="A1314" s="44"/>
      <c r="B1314" s="44"/>
      <c r="C1314" s="44"/>
      <c r="D1314" s="44"/>
      <c r="E1314" s="44"/>
      <c r="F1314" s="58"/>
      <c r="G1314" s="32"/>
      <c r="H1314" s="58"/>
      <c r="I1314" s="58"/>
      <c r="J1314" s="59"/>
      <c r="K1314" s="58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  <c r="DJ1314"/>
      <c r="DK1314"/>
      <c r="DL1314"/>
      <c r="DM1314"/>
      <c r="DN1314"/>
      <c r="DO1314"/>
      <c r="DP1314"/>
      <c r="DQ1314"/>
      <c r="DR1314"/>
      <c r="DS1314"/>
      <c r="DT1314"/>
      <c r="DU1314"/>
      <c r="DV1314"/>
      <c r="DW1314"/>
      <c r="DX1314"/>
      <c r="DY1314"/>
      <c r="DZ1314"/>
      <c r="EA1314"/>
      <c r="EB1314"/>
      <c r="EC1314"/>
      <c r="ED1314"/>
      <c r="EE1314"/>
      <c r="EF1314"/>
      <c r="EG1314"/>
      <c r="EH1314"/>
      <c r="EI1314"/>
      <c r="EJ1314"/>
      <c r="EK1314"/>
      <c r="EL1314"/>
      <c r="EM1314"/>
      <c r="EN1314"/>
      <c r="EO1314"/>
      <c r="EP1314"/>
      <c r="EQ1314"/>
      <c r="ER1314"/>
      <c r="ES1314"/>
      <c r="ET1314"/>
      <c r="EU1314"/>
      <c r="EV1314"/>
      <c r="EW1314"/>
      <c r="EX1314"/>
      <c r="EY1314"/>
      <c r="EZ1314"/>
      <c r="FA1314"/>
      <c r="FB1314"/>
      <c r="FC1314"/>
      <c r="FD1314"/>
      <c r="FE1314"/>
      <c r="FF1314"/>
      <c r="FG1314"/>
      <c r="FH1314"/>
      <c r="FI1314"/>
      <c r="FJ1314"/>
    </row>
    <row r="1315" spans="1:166" s="4" customFormat="1" x14ac:dyDescent="0.2">
      <c r="A1315" s="44"/>
      <c r="B1315" s="44"/>
      <c r="C1315" s="44"/>
      <c r="D1315" s="44"/>
      <c r="E1315" s="44"/>
      <c r="F1315" s="58"/>
      <c r="G1315" s="32"/>
      <c r="H1315" s="58"/>
      <c r="I1315" s="58"/>
      <c r="J1315" s="59"/>
      <c r="K1315" s="58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  <c r="DJ1315"/>
      <c r="DK1315"/>
      <c r="DL1315"/>
      <c r="DM1315"/>
      <c r="DN1315"/>
      <c r="DO1315"/>
      <c r="DP1315"/>
      <c r="DQ1315"/>
      <c r="DR1315"/>
      <c r="DS1315"/>
      <c r="DT1315"/>
      <c r="DU1315"/>
      <c r="DV1315"/>
      <c r="DW1315"/>
      <c r="DX1315"/>
      <c r="DY1315"/>
      <c r="DZ1315"/>
      <c r="EA1315"/>
      <c r="EB1315"/>
      <c r="EC1315"/>
      <c r="ED1315"/>
      <c r="EE1315"/>
      <c r="EF1315"/>
      <c r="EG1315"/>
      <c r="EH1315"/>
      <c r="EI1315"/>
      <c r="EJ1315"/>
      <c r="EK1315"/>
      <c r="EL1315"/>
      <c r="EM1315"/>
      <c r="EN1315"/>
      <c r="EO1315"/>
      <c r="EP1315"/>
      <c r="EQ1315"/>
      <c r="ER1315"/>
      <c r="ES1315"/>
      <c r="ET1315"/>
      <c r="EU1315"/>
      <c r="EV1315"/>
      <c r="EW1315"/>
      <c r="EX1315"/>
      <c r="EY1315"/>
      <c r="EZ1315"/>
      <c r="FA1315"/>
      <c r="FB1315"/>
      <c r="FC1315"/>
      <c r="FD1315"/>
      <c r="FE1315"/>
      <c r="FF1315"/>
      <c r="FG1315"/>
      <c r="FH1315"/>
      <c r="FI1315"/>
      <c r="FJ1315"/>
    </row>
    <row r="1316" spans="1:166" s="4" customFormat="1" x14ac:dyDescent="0.2">
      <c r="A1316" s="44"/>
      <c r="B1316" s="44"/>
      <c r="C1316" s="44"/>
      <c r="D1316" s="44"/>
      <c r="E1316" s="44"/>
      <c r="F1316" s="58"/>
      <c r="G1316" s="32"/>
      <c r="H1316" s="58"/>
      <c r="I1316" s="58"/>
      <c r="J1316" s="59"/>
      <c r="K1316" s="58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  <c r="DJ1316"/>
      <c r="DK1316"/>
      <c r="DL1316"/>
      <c r="DM1316"/>
      <c r="DN1316"/>
      <c r="DO1316"/>
      <c r="DP1316"/>
      <c r="DQ1316"/>
      <c r="DR1316"/>
      <c r="DS1316"/>
      <c r="DT1316"/>
      <c r="DU1316"/>
      <c r="DV1316"/>
      <c r="DW1316"/>
      <c r="DX1316"/>
      <c r="DY1316"/>
      <c r="DZ1316"/>
      <c r="EA1316"/>
      <c r="EB1316"/>
      <c r="EC1316"/>
      <c r="ED1316"/>
      <c r="EE1316"/>
      <c r="EF1316"/>
      <c r="EG1316"/>
      <c r="EH1316"/>
      <c r="EI1316"/>
      <c r="EJ1316"/>
      <c r="EK1316"/>
      <c r="EL1316"/>
      <c r="EM1316"/>
      <c r="EN1316"/>
      <c r="EO1316"/>
      <c r="EP1316"/>
      <c r="EQ1316"/>
      <c r="ER1316"/>
      <c r="ES1316"/>
      <c r="ET1316"/>
      <c r="EU1316"/>
      <c r="EV1316"/>
      <c r="EW1316"/>
      <c r="EX1316"/>
      <c r="EY1316"/>
      <c r="EZ1316"/>
      <c r="FA1316"/>
      <c r="FB1316"/>
      <c r="FC1316"/>
      <c r="FD1316"/>
      <c r="FE1316"/>
      <c r="FF1316"/>
      <c r="FG1316"/>
      <c r="FH1316"/>
      <c r="FI1316"/>
      <c r="FJ1316"/>
    </row>
    <row r="1317" spans="1:166" s="4" customFormat="1" x14ac:dyDescent="0.2">
      <c r="A1317" s="44"/>
      <c r="B1317" s="44"/>
      <c r="C1317" s="44"/>
      <c r="D1317" s="44"/>
      <c r="E1317" s="44"/>
      <c r="F1317" s="58"/>
      <c r="G1317" s="32"/>
      <c r="H1317" s="58"/>
      <c r="I1317" s="58"/>
      <c r="J1317" s="59"/>
      <c r="K1317" s="58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  <c r="DJ1317"/>
      <c r="DK1317"/>
      <c r="DL1317"/>
      <c r="DM1317"/>
      <c r="DN1317"/>
      <c r="DO1317"/>
      <c r="DP1317"/>
      <c r="DQ1317"/>
      <c r="DR1317"/>
      <c r="DS1317"/>
      <c r="DT1317"/>
      <c r="DU1317"/>
      <c r="DV1317"/>
      <c r="DW1317"/>
      <c r="DX1317"/>
      <c r="DY1317"/>
      <c r="DZ1317"/>
      <c r="EA1317"/>
      <c r="EB1317"/>
      <c r="EC1317"/>
      <c r="ED1317"/>
      <c r="EE1317"/>
      <c r="EF1317"/>
      <c r="EG1317"/>
      <c r="EH1317"/>
      <c r="EI1317"/>
      <c r="EJ1317"/>
      <c r="EK1317"/>
      <c r="EL1317"/>
      <c r="EM1317"/>
      <c r="EN1317"/>
      <c r="EO1317"/>
      <c r="EP1317"/>
      <c r="EQ1317"/>
      <c r="ER1317"/>
      <c r="ES1317"/>
      <c r="ET1317"/>
      <c r="EU1317"/>
      <c r="EV1317"/>
      <c r="EW1317"/>
      <c r="EX1317"/>
      <c r="EY1317"/>
      <c r="EZ1317"/>
      <c r="FA1317"/>
      <c r="FB1317"/>
      <c r="FC1317"/>
      <c r="FD1317"/>
      <c r="FE1317"/>
      <c r="FF1317"/>
      <c r="FG1317"/>
      <c r="FH1317"/>
      <c r="FI1317"/>
      <c r="FJ1317"/>
    </row>
    <row r="1318" spans="1:166" s="4" customFormat="1" x14ac:dyDescent="0.2">
      <c r="A1318" s="44"/>
      <c r="B1318" s="44"/>
      <c r="C1318" s="44"/>
      <c r="D1318" s="44"/>
      <c r="E1318" s="44"/>
      <c r="F1318" s="58"/>
      <c r="G1318" s="32"/>
      <c r="H1318" s="58"/>
      <c r="I1318" s="58"/>
      <c r="J1318" s="59"/>
      <c r="K1318" s="5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  <c r="DJ1318"/>
      <c r="DK1318"/>
      <c r="DL1318"/>
      <c r="DM1318"/>
      <c r="DN1318"/>
      <c r="DO1318"/>
      <c r="DP1318"/>
      <c r="DQ1318"/>
      <c r="DR1318"/>
      <c r="DS1318"/>
      <c r="DT1318"/>
      <c r="DU1318"/>
      <c r="DV1318"/>
      <c r="DW1318"/>
      <c r="DX1318"/>
      <c r="DY1318"/>
      <c r="DZ1318"/>
      <c r="EA1318"/>
      <c r="EB1318"/>
      <c r="EC1318"/>
      <c r="ED1318"/>
      <c r="EE1318"/>
      <c r="EF1318"/>
      <c r="EG1318"/>
      <c r="EH1318"/>
      <c r="EI1318"/>
      <c r="EJ1318"/>
      <c r="EK1318"/>
      <c r="EL1318"/>
      <c r="EM1318"/>
      <c r="EN1318"/>
      <c r="EO1318"/>
      <c r="EP1318"/>
      <c r="EQ1318"/>
      <c r="ER1318"/>
      <c r="ES1318"/>
      <c r="ET1318"/>
      <c r="EU1318"/>
      <c r="EV1318"/>
      <c r="EW1318"/>
      <c r="EX1318"/>
      <c r="EY1318"/>
      <c r="EZ1318"/>
      <c r="FA1318"/>
      <c r="FB1318"/>
      <c r="FC1318"/>
      <c r="FD1318"/>
      <c r="FE1318"/>
      <c r="FF1318"/>
      <c r="FG1318"/>
      <c r="FH1318"/>
      <c r="FI1318"/>
      <c r="FJ1318"/>
    </row>
    <row r="1319" spans="1:166" s="4" customFormat="1" x14ac:dyDescent="0.2">
      <c r="A1319" s="44"/>
      <c r="B1319" s="44"/>
      <c r="C1319" s="44"/>
      <c r="D1319" s="44"/>
      <c r="E1319" s="44"/>
      <c r="F1319" s="58"/>
      <c r="G1319" s="32"/>
      <c r="H1319" s="58"/>
      <c r="I1319" s="58"/>
      <c r="J1319" s="59"/>
      <c r="K1319" s="58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  <c r="DJ1319"/>
      <c r="DK1319"/>
      <c r="DL1319"/>
      <c r="DM1319"/>
      <c r="DN1319"/>
      <c r="DO1319"/>
      <c r="DP1319"/>
      <c r="DQ1319"/>
      <c r="DR1319"/>
      <c r="DS1319"/>
      <c r="DT1319"/>
      <c r="DU1319"/>
      <c r="DV1319"/>
      <c r="DW1319"/>
      <c r="DX1319"/>
      <c r="DY1319"/>
      <c r="DZ1319"/>
      <c r="EA1319"/>
      <c r="EB1319"/>
      <c r="EC1319"/>
      <c r="ED1319"/>
      <c r="EE1319"/>
      <c r="EF1319"/>
      <c r="EG1319"/>
      <c r="EH1319"/>
      <c r="EI1319"/>
      <c r="EJ1319"/>
      <c r="EK1319"/>
      <c r="EL1319"/>
      <c r="EM1319"/>
      <c r="EN1319"/>
      <c r="EO1319"/>
      <c r="EP1319"/>
      <c r="EQ1319"/>
      <c r="ER1319"/>
      <c r="ES1319"/>
      <c r="ET1319"/>
      <c r="EU1319"/>
      <c r="EV1319"/>
      <c r="EW1319"/>
      <c r="EX1319"/>
      <c r="EY1319"/>
      <c r="EZ1319"/>
      <c r="FA1319"/>
      <c r="FB1319"/>
      <c r="FC1319"/>
      <c r="FD1319"/>
      <c r="FE1319"/>
      <c r="FF1319"/>
      <c r="FG1319"/>
      <c r="FH1319"/>
      <c r="FI1319"/>
      <c r="FJ1319"/>
    </row>
    <row r="1320" spans="1:166" s="4" customFormat="1" x14ac:dyDescent="0.2">
      <c r="A1320" s="44"/>
      <c r="B1320" s="44"/>
      <c r="C1320" s="44"/>
      <c r="D1320" s="44"/>
      <c r="E1320" s="44"/>
      <c r="F1320" s="58"/>
      <c r="G1320" s="32"/>
      <c r="H1320" s="58"/>
      <c r="I1320" s="58"/>
      <c r="J1320" s="59"/>
      <c r="K1320" s="58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  <c r="DJ1320"/>
      <c r="DK1320"/>
      <c r="DL1320"/>
      <c r="DM1320"/>
      <c r="DN1320"/>
      <c r="DO1320"/>
      <c r="DP1320"/>
      <c r="DQ1320"/>
      <c r="DR1320"/>
      <c r="DS1320"/>
      <c r="DT1320"/>
      <c r="DU1320"/>
      <c r="DV1320"/>
      <c r="DW1320"/>
      <c r="DX1320"/>
      <c r="DY1320"/>
      <c r="DZ1320"/>
      <c r="EA1320"/>
      <c r="EB1320"/>
      <c r="EC1320"/>
      <c r="ED1320"/>
      <c r="EE1320"/>
      <c r="EF1320"/>
      <c r="EG1320"/>
      <c r="EH1320"/>
      <c r="EI1320"/>
      <c r="EJ1320"/>
      <c r="EK1320"/>
      <c r="EL1320"/>
      <c r="EM1320"/>
      <c r="EN1320"/>
      <c r="EO1320"/>
      <c r="EP1320"/>
      <c r="EQ1320"/>
      <c r="ER1320"/>
      <c r="ES1320"/>
      <c r="ET1320"/>
      <c r="EU1320"/>
      <c r="EV1320"/>
      <c r="EW1320"/>
      <c r="EX1320"/>
      <c r="EY1320"/>
      <c r="EZ1320"/>
      <c r="FA1320"/>
      <c r="FB1320"/>
      <c r="FC1320"/>
      <c r="FD1320"/>
      <c r="FE1320"/>
      <c r="FF1320"/>
      <c r="FG1320"/>
      <c r="FH1320"/>
      <c r="FI1320"/>
      <c r="FJ1320"/>
    </row>
    <row r="1321" spans="1:166" s="4" customFormat="1" x14ac:dyDescent="0.2">
      <c r="A1321" s="44"/>
      <c r="B1321" s="44"/>
      <c r="C1321" s="44"/>
      <c r="D1321" s="44"/>
      <c r="E1321" s="44"/>
      <c r="F1321" s="58"/>
      <c r="G1321" s="32"/>
      <c r="H1321" s="58"/>
      <c r="I1321" s="58"/>
      <c r="J1321" s="59"/>
      <c r="K1321" s="58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  <c r="DJ1321"/>
      <c r="DK1321"/>
      <c r="DL1321"/>
      <c r="DM1321"/>
      <c r="DN1321"/>
      <c r="DO1321"/>
      <c r="DP1321"/>
      <c r="DQ1321"/>
      <c r="DR1321"/>
      <c r="DS1321"/>
      <c r="DT1321"/>
      <c r="DU1321"/>
      <c r="DV1321"/>
      <c r="DW1321"/>
      <c r="DX1321"/>
      <c r="DY1321"/>
      <c r="DZ1321"/>
      <c r="EA1321"/>
      <c r="EB1321"/>
      <c r="EC1321"/>
      <c r="ED1321"/>
      <c r="EE1321"/>
      <c r="EF1321"/>
      <c r="EG1321"/>
      <c r="EH1321"/>
      <c r="EI1321"/>
      <c r="EJ1321"/>
      <c r="EK1321"/>
      <c r="EL1321"/>
      <c r="EM1321"/>
      <c r="EN1321"/>
      <c r="EO1321"/>
      <c r="EP1321"/>
      <c r="EQ1321"/>
      <c r="ER1321"/>
      <c r="ES1321"/>
      <c r="ET1321"/>
      <c r="EU1321"/>
      <c r="EV1321"/>
      <c r="EW1321"/>
      <c r="EX1321"/>
      <c r="EY1321"/>
      <c r="EZ1321"/>
      <c r="FA1321"/>
      <c r="FB1321"/>
      <c r="FC1321"/>
      <c r="FD1321"/>
      <c r="FE1321"/>
      <c r="FF1321"/>
      <c r="FG1321"/>
      <c r="FH1321"/>
      <c r="FI1321"/>
      <c r="FJ1321"/>
    </row>
    <row r="1322" spans="1:166" s="4" customFormat="1" x14ac:dyDescent="0.2">
      <c r="A1322" s="44"/>
      <c r="B1322" s="44"/>
      <c r="C1322" s="44"/>
      <c r="D1322" s="44"/>
      <c r="E1322" s="44"/>
      <c r="F1322" s="58"/>
      <c r="G1322" s="32"/>
      <c r="H1322" s="58"/>
      <c r="I1322" s="58"/>
      <c r="J1322" s="59"/>
      <c r="K1322" s="58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  <c r="DJ1322"/>
      <c r="DK1322"/>
      <c r="DL1322"/>
      <c r="DM1322"/>
      <c r="DN1322"/>
      <c r="DO1322"/>
      <c r="DP1322"/>
      <c r="DQ1322"/>
      <c r="DR1322"/>
      <c r="DS1322"/>
      <c r="DT1322"/>
      <c r="DU1322"/>
      <c r="DV1322"/>
      <c r="DW1322"/>
      <c r="DX1322"/>
      <c r="DY1322"/>
      <c r="DZ1322"/>
      <c r="EA1322"/>
      <c r="EB1322"/>
      <c r="EC1322"/>
      <c r="ED1322"/>
      <c r="EE1322"/>
      <c r="EF1322"/>
      <c r="EG1322"/>
      <c r="EH1322"/>
      <c r="EI1322"/>
      <c r="EJ1322"/>
      <c r="EK1322"/>
      <c r="EL1322"/>
      <c r="EM1322"/>
      <c r="EN1322"/>
      <c r="EO1322"/>
      <c r="EP1322"/>
      <c r="EQ1322"/>
      <c r="ER1322"/>
      <c r="ES1322"/>
      <c r="ET1322"/>
      <c r="EU1322"/>
      <c r="EV1322"/>
      <c r="EW1322"/>
      <c r="EX1322"/>
      <c r="EY1322"/>
      <c r="EZ1322"/>
      <c r="FA1322"/>
      <c r="FB1322"/>
      <c r="FC1322"/>
      <c r="FD1322"/>
      <c r="FE1322"/>
      <c r="FF1322"/>
      <c r="FG1322"/>
      <c r="FH1322"/>
      <c r="FI1322"/>
      <c r="FJ1322"/>
    </row>
    <row r="1323" spans="1:166" s="4" customFormat="1" x14ac:dyDescent="0.2">
      <c r="A1323" s="44"/>
      <c r="B1323" s="44"/>
      <c r="C1323" s="44"/>
      <c r="D1323" s="44"/>
      <c r="E1323" s="44"/>
      <c r="F1323" s="58"/>
      <c r="G1323" s="32"/>
      <c r="H1323" s="58"/>
      <c r="I1323" s="58"/>
      <c r="J1323" s="59"/>
      <c r="K1323" s="58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  <c r="DJ1323"/>
      <c r="DK1323"/>
      <c r="DL1323"/>
      <c r="DM1323"/>
      <c r="DN1323"/>
      <c r="DO1323"/>
      <c r="DP1323"/>
      <c r="DQ1323"/>
      <c r="DR1323"/>
      <c r="DS1323"/>
      <c r="DT1323"/>
      <c r="DU1323"/>
      <c r="DV1323"/>
      <c r="DW1323"/>
      <c r="DX1323"/>
      <c r="DY1323"/>
      <c r="DZ1323"/>
      <c r="EA1323"/>
      <c r="EB1323"/>
      <c r="EC1323"/>
      <c r="ED1323"/>
      <c r="EE1323"/>
      <c r="EF1323"/>
      <c r="EG1323"/>
      <c r="EH1323"/>
      <c r="EI1323"/>
      <c r="EJ1323"/>
      <c r="EK1323"/>
      <c r="EL1323"/>
      <c r="EM1323"/>
      <c r="EN1323"/>
      <c r="EO1323"/>
      <c r="EP1323"/>
      <c r="EQ1323"/>
      <c r="ER1323"/>
      <c r="ES1323"/>
      <c r="ET1323"/>
      <c r="EU1323"/>
      <c r="EV1323"/>
      <c r="EW1323"/>
      <c r="EX1323"/>
      <c r="EY1323"/>
      <c r="EZ1323"/>
      <c r="FA1323"/>
      <c r="FB1323"/>
      <c r="FC1323"/>
      <c r="FD1323"/>
      <c r="FE1323"/>
      <c r="FF1323"/>
      <c r="FG1323"/>
      <c r="FH1323"/>
      <c r="FI1323"/>
      <c r="FJ1323"/>
    </row>
    <row r="1324" spans="1:166" s="4" customFormat="1" x14ac:dyDescent="0.2">
      <c r="A1324" s="44"/>
      <c r="B1324" s="44"/>
      <c r="C1324" s="44"/>
      <c r="D1324" s="44"/>
      <c r="E1324" s="44"/>
      <c r="F1324" s="58"/>
      <c r="G1324" s="32"/>
      <c r="H1324" s="58"/>
      <c r="I1324" s="58"/>
      <c r="J1324" s="59"/>
      <c r="K1324" s="58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  <c r="DJ1324"/>
      <c r="DK1324"/>
      <c r="DL1324"/>
      <c r="DM1324"/>
      <c r="DN1324"/>
      <c r="DO1324"/>
      <c r="DP1324"/>
      <c r="DQ1324"/>
      <c r="DR1324"/>
      <c r="DS1324"/>
      <c r="DT1324"/>
      <c r="DU1324"/>
      <c r="DV1324"/>
      <c r="DW1324"/>
      <c r="DX1324"/>
      <c r="DY1324"/>
      <c r="DZ1324"/>
      <c r="EA1324"/>
      <c r="EB1324"/>
      <c r="EC1324"/>
      <c r="ED1324"/>
      <c r="EE1324"/>
      <c r="EF1324"/>
      <c r="EG1324"/>
      <c r="EH1324"/>
      <c r="EI1324"/>
      <c r="EJ1324"/>
      <c r="EK1324"/>
      <c r="EL1324"/>
      <c r="EM1324"/>
      <c r="EN1324"/>
      <c r="EO1324"/>
      <c r="EP1324"/>
      <c r="EQ1324"/>
      <c r="ER1324"/>
      <c r="ES1324"/>
      <c r="ET1324"/>
      <c r="EU1324"/>
      <c r="EV1324"/>
      <c r="EW1324"/>
      <c r="EX1324"/>
      <c r="EY1324"/>
      <c r="EZ1324"/>
      <c r="FA1324"/>
      <c r="FB1324"/>
      <c r="FC1324"/>
      <c r="FD1324"/>
      <c r="FE1324"/>
      <c r="FF1324"/>
      <c r="FG1324"/>
      <c r="FH1324"/>
      <c r="FI1324"/>
      <c r="FJ1324"/>
    </row>
    <row r="1325" spans="1:166" s="4" customFormat="1" x14ac:dyDescent="0.2">
      <c r="A1325" s="44"/>
      <c r="B1325" s="44"/>
      <c r="C1325" s="44"/>
      <c r="D1325" s="44"/>
      <c r="E1325" s="44"/>
      <c r="F1325" s="58"/>
      <c r="G1325" s="32"/>
      <c r="H1325" s="58"/>
      <c r="I1325" s="58"/>
      <c r="J1325" s="59"/>
      <c r="K1325" s="58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  <c r="DI1325"/>
      <c r="DJ1325"/>
      <c r="DK1325"/>
      <c r="DL1325"/>
      <c r="DM1325"/>
      <c r="DN1325"/>
      <c r="DO1325"/>
      <c r="DP1325"/>
      <c r="DQ1325"/>
      <c r="DR1325"/>
      <c r="DS1325"/>
      <c r="DT1325"/>
      <c r="DU1325"/>
      <c r="DV1325"/>
      <c r="DW1325"/>
      <c r="DX1325"/>
      <c r="DY1325"/>
      <c r="DZ1325"/>
      <c r="EA1325"/>
      <c r="EB1325"/>
      <c r="EC1325"/>
      <c r="ED1325"/>
      <c r="EE1325"/>
      <c r="EF1325"/>
      <c r="EG1325"/>
      <c r="EH1325"/>
      <c r="EI1325"/>
      <c r="EJ1325"/>
      <c r="EK1325"/>
      <c r="EL1325"/>
      <c r="EM1325"/>
      <c r="EN1325"/>
      <c r="EO1325"/>
      <c r="EP1325"/>
      <c r="EQ1325"/>
      <c r="ER1325"/>
      <c r="ES1325"/>
      <c r="ET1325"/>
      <c r="EU1325"/>
      <c r="EV1325"/>
      <c r="EW1325"/>
      <c r="EX1325"/>
      <c r="EY1325"/>
      <c r="EZ1325"/>
      <c r="FA1325"/>
      <c r="FB1325"/>
      <c r="FC1325"/>
      <c r="FD1325"/>
      <c r="FE1325"/>
      <c r="FF1325"/>
      <c r="FG1325"/>
      <c r="FH1325"/>
      <c r="FI1325"/>
      <c r="FJ1325"/>
    </row>
    <row r="1326" spans="1:166" s="4" customFormat="1" x14ac:dyDescent="0.2">
      <c r="A1326" s="44"/>
      <c r="B1326" s="44"/>
      <c r="C1326" s="44"/>
      <c r="D1326" s="44"/>
      <c r="E1326" s="44"/>
      <c r="F1326" s="58"/>
      <c r="G1326" s="32"/>
      <c r="H1326" s="58"/>
      <c r="I1326" s="58"/>
      <c r="J1326" s="59"/>
      <c r="K1326" s="58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  <c r="DI1326"/>
      <c r="DJ1326"/>
      <c r="DK1326"/>
      <c r="DL1326"/>
      <c r="DM1326"/>
      <c r="DN1326"/>
      <c r="DO1326"/>
      <c r="DP1326"/>
      <c r="DQ1326"/>
      <c r="DR1326"/>
      <c r="DS1326"/>
      <c r="DT1326"/>
      <c r="DU1326"/>
      <c r="DV1326"/>
      <c r="DW1326"/>
      <c r="DX1326"/>
      <c r="DY1326"/>
      <c r="DZ1326"/>
      <c r="EA1326"/>
      <c r="EB1326"/>
      <c r="EC1326"/>
      <c r="ED1326"/>
      <c r="EE1326"/>
      <c r="EF1326"/>
      <c r="EG1326"/>
      <c r="EH1326"/>
      <c r="EI1326"/>
      <c r="EJ1326"/>
      <c r="EK1326"/>
      <c r="EL1326"/>
      <c r="EM1326"/>
      <c r="EN1326"/>
      <c r="EO1326"/>
      <c r="EP1326"/>
      <c r="EQ1326"/>
      <c r="ER1326"/>
      <c r="ES1326"/>
      <c r="ET1326"/>
      <c r="EU1326"/>
      <c r="EV1326"/>
      <c r="EW1326"/>
      <c r="EX1326"/>
      <c r="EY1326"/>
      <c r="EZ1326"/>
      <c r="FA1326"/>
      <c r="FB1326"/>
      <c r="FC1326"/>
      <c r="FD1326"/>
      <c r="FE1326"/>
      <c r="FF1326"/>
      <c r="FG1326"/>
      <c r="FH1326"/>
      <c r="FI1326"/>
      <c r="FJ1326"/>
    </row>
    <row r="1327" spans="1:166" s="4" customFormat="1" x14ac:dyDescent="0.2">
      <c r="A1327" s="44"/>
      <c r="B1327" s="44"/>
      <c r="C1327" s="44"/>
      <c r="D1327" s="44"/>
      <c r="E1327" s="44"/>
      <c r="F1327" s="58"/>
      <c r="G1327" s="32"/>
      <c r="H1327" s="58"/>
      <c r="I1327" s="58"/>
      <c r="J1327" s="59"/>
      <c r="K1327" s="58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  <c r="DI1327"/>
      <c r="DJ1327"/>
      <c r="DK1327"/>
      <c r="DL1327"/>
      <c r="DM1327"/>
      <c r="DN1327"/>
      <c r="DO1327"/>
      <c r="DP1327"/>
      <c r="DQ1327"/>
      <c r="DR1327"/>
      <c r="DS1327"/>
      <c r="DT1327"/>
      <c r="DU1327"/>
      <c r="DV1327"/>
      <c r="DW1327"/>
      <c r="DX1327"/>
      <c r="DY1327"/>
      <c r="DZ1327"/>
      <c r="EA1327"/>
      <c r="EB1327"/>
      <c r="EC1327"/>
      <c r="ED1327"/>
      <c r="EE1327"/>
      <c r="EF1327"/>
      <c r="EG1327"/>
      <c r="EH1327"/>
      <c r="EI1327"/>
      <c r="EJ1327"/>
      <c r="EK1327"/>
      <c r="EL1327"/>
      <c r="EM1327"/>
      <c r="EN1327"/>
      <c r="EO1327"/>
      <c r="EP1327"/>
      <c r="EQ1327"/>
      <c r="ER1327"/>
      <c r="ES1327"/>
      <c r="ET1327"/>
      <c r="EU1327"/>
      <c r="EV1327"/>
      <c r="EW1327"/>
      <c r="EX1327"/>
      <c r="EY1327"/>
      <c r="EZ1327"/>
      <c r="FA1327"/>
      <c r="FB1327"/>
      <c r="FC1327"/>
      <c r="FD1327"/>
      <c r="FE1327"/>
      <c r="FF1327"/>
      <c r="FG1327"/>
      <c r="FH1327"/>
      <c r="FI1327"/>
      <c r="FJ1327"/>
    </row>
    <row r="1328" spans="1:166" s="4" customFormat="1" x14ac:dyDescent="0.2">
      <c r="A1328" s="44"/>
      <c r="B1328" s="44"/>
      <c r="C1328" s="44"/>
      <c r="D1328" s="44"/>
      <c r="E1328" s="44"/>
      <c r="F1328" s="58"/>
      <c r="G1328" s="32"/>
      <c r="H1328" s="58"/>
      <c r="I1328" s="58"/>
      <c r="J1328" s="59"/>
      <c r="K1328" s="5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  <c r="DI1328"/>
      <c r="DJ1328"/>
      <c r="DK1328"/>
      <c r="DL1328"/>
      <c r="DM1328"/>
      <c r="DN1328"/>
      <c r="DO1328"/>
      <c r="DP1328"/>
      <c r="DQ1328"/>
      <c r="DR1328"/>
      <c r="DS1328"/>
      <c r="DT1328"/>
      <c r="DU1328"/>
      <c r="DV1328"/>
      <c r="DW1328"/>
      <c r="DX1328"/>
      <c r="DY1328"/>
      <c r="DZ1328"/>
      <c r="EA1328"/>
      <c r="EB1328"/>
      <c r="EC1328"/>
      <c r="ED1328"/>
      <c r="EE1328"/>
      <c r="EF1328"/>
      <c r="EG1328"/>
      <c r="EH1328"/>
      <c r="EI1328"/>
      <c r="EJ1328"/>
      <c r="EK1328"/>
      <c r="EL1328"/>
      <c r="EM1328"/>
      <c r="EN1328"/>
      <c r="EO1328"/>
      <c r="EP1328"/>
      <c r="EQ1328"/>
      <c r="ER1328"/>
      <c r="ES1328"/>
      <c r="ET1328"/>
      <c r="EU1328"/>
      <c r="EV1328"/>
      <c r="EW1328"/>
      <c r="EX1328"/>
      <c r="EY1328"/>
      <c r="EZ1328"/>
      <c r="FA1328"/>
      <c r="FB1328"/>
      <c r="FC1328"/>
      <c r="FD1328"/>
      <c r="FE1328"/>
      <c r="FF1328"/>
      <c r="FG1328"/>
      <c r="FH1328"/>
      <c r="FI1328"/>
      <c r="FJ1328"/>
    </row>
    <row r="1329" spans="1:166" s="4" customFormat="1" x14ac:dyDescent="0.2">
      <c r="A1329" s="44"/>
      <c r="B1329" s="44"/>
      <c r="C1329" s="44"/>
      <c r="D1329" s="44"/>
      <c r="E1329" s="44"/>
      <c r="F1329" s="58"/>
      <c r="G1329" s="32"/>
      <c r="H1329" s="58"/>
      <c r="I1329" s="58"/>
      <c r="J1329" s="59"/>
      <c r="K1329" s="58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  <c r="DI1329"/>
      <c r="DJ1329"/>
      <c r="DK1329"/>
      <c r="DL1329"/>
      <c r="DM1329"/>
      <c r="DN1329"/>
      <c r="DO1329"/>
      <c r="DP1329"/>
      <c r="DQ1329"/>
      <c r="DR1329"/>
      <c r="DS1329"/>
      <c r="DT1329"/>
      <c r="DU1329"/>
      <c r="DV1329"/>
      <c r="DW1329"/>
      <c r="DX1329"/>
      <c r="DY1329"/>
      <c r="DZ1329"/>
      <c r="EA1329"/>
      <c r="EB1329"/>
      <c r="EC1329"/>
      <c r="ED1329"/>
      <c r="EE1329"/>
      <c r="EF1329"/>
      <c r="EG1329"/>
      <c r="EH1329"/>
      <c r="EI1329"/>
      <c r="EJ1329"/>
      <c r="EK1329"/>
      <c r="EL1329"/>
      <c r="EM1329"/>
      <c r="EN1329"/>
      <c r="EO1329"/>
      <c r="EP1329"/>
      <c r="EQ1329"/>
      <c r="ER1329"/>
      <c r="ES1329"/>
      <c r="ET1329"/>
      <c r="EU1329"/>
      <c r="EV1329"/>
      <c r="EW1329"/>
      <c r="EX1329"/>
      <c r="EY1329"/>
      <c r="EZ1329"/>
      <c r="FA1329"/>
      <c r="FB1329"/>
      <c r="FC1329"/>
      <c r="FD1329"/>
      <c r="FE1329"/>
      <c r="FF1329"/>
      <c r="FG1329"/>
      <c r="FH1329"/>
      <c r="FI1329"/>
      <c r="FJ1329"/>
    </row>
    <row r="1330" spans="1:166" s="4" customFormat="1" x14ac:dyDescent="0.2">
      <c r="A1330" s="44"/>
      <c r="B1330" s="44"/>
      <c r="C1330" s="44"/>
      <c r="D1330" s="44"/>
      <c r="E1330" s="44"/>
      <c r="F1330" s="58"/>
      <c r="G1330" s="32"/>
      <c r="H1330" s="58"/>
      <c r="I1330" s="58"/>
      <c r="J1330" s="59"/>
      <c r="K1330" s="58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</row>
    <row r="1331" spans="1:166" s="4" customFormat="1" x14ac:dyDescent="0.2">
      <c r="A1331" s="44"/>
      <c r="B1331" s="44"/>
      <c r="C1331" s="44"/>
      <c r="D1331" s="44"/>
      <c r="E1331" s="44"/>
      <c r="F1331" s="58"/>
      <c r="G1331" s="32"/>
      <c r="H1331" s="58"/>
      <c r="I1331" s="58"/>
      <c r="J1331" s="59"/>
      <c r="K1331" s="58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</row>
    <row r="1332" spans="1:166" s="4" customFormat="1" x14ac:dyDescent="0.2">
      <c r="A1332" s="44"/>
      <c r="B1332" s="44"/>
      <c r="C1332" s="44"/>
      <c r="D1332" s="44"/>
      <c r="E1332" s="44"/>
      <c r="F1332" s="58"/>
      <c r="G1332" s="32"/>
      <c r="H1332" s="58"/>
      <c r="I1332" s="58"/>
      <c r="J1332" s="59"/>
      <c r="K1332" s="58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</row>
    <row r="1333" spans="1:166" s="4" customFormat="1" x14ac:dyDescent="0.2">
      <c r="A1333" s="44"/>
      <c r="B1333" s="44"/>
      <c r="C1333" s="44"/>
      <c r="D1333" s="44"/>
      <c r="E1333" s="44"/>
      <c r="F1333" s="58"/>
      <c r="G1333" s="32"/>
      <c r="H1333" s="58"/>
      <c r="I1333" s="58"/>
      <c r="J1333" s="59"/>
      <c r="K1333" s="58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</row>
    <row r="1334" spans="1:166" s="4" customFormat="1" x14ac:dyDescent="0.2">
      <c r="A1334" s="44"/>
      <c r="B1334" s="44"/>
      <c r="C1334" s="44"/>
      <c r="D1334" s="44"/>
      <c r="E1334" s="44"/>
      <c r="F1334" s="58"/>
      <c r="G1334" s="32"/>
      <c r="H1334" s="58"/>
      <c r="I1334" s="58"/>
      <c r="J1334" s="59"/>
      <c r="K1334" s="58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</row>
    <row r="1335" spans="1:166" s="4" customFormat="1" x14ac:dyDescent="0.2">
      <c r="A1335" s="44"/>
      <c r="B1335" s="44"/>
      <c r="C1335" s="44"/>
      <c r="D1335" s="44"/>
      <c r="E1335" s="44"/>
      <c r="F1335" s="58"/>
      <c r="G1335" s="32"/>
      <c r="H1335" s="58"/>
      <c r="I1335" s="58"/>
      <c r="J1335" s="59"/>
      <c r="K1335" s="58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</row>
    <row r="1336" spans="1:166" s="4" customFormat="1" x14ac:dyDescent="0.2">
      <c r="A1336" s="44"/>
      <c r="B1336" s="44"/>
      <c r="C1336" s="44"/>
      <c r="D1336" s="44"/>
      <c r="E1336" s="44"/>
      <c r="F1336" s="58"/>
      <c r="G1336" s="32"/>
      <c r="H1336" s="58"/>
      <c r="I1336" s="58"/>
      <c r="J1336" s="59"/>
      <c r="K1336" s="58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</row>
    <row r="1337" spans="1:166" s="4" customFormat="1" x14ac:dyDescent="0.2">
      <c r="A1337" s="44"/>
      <c r="B1337" s="44"/>
      <c r="C1337" s="44"/>
      <c r="D1337" s="44"/>
      <c r="E1337" s="44"/>
      <c r="F1337" s="58"/>
      <c r="G1337" s="32"/>
      <c r="H1337" s="58"/>
      <c r="I1337" s="58"/>
      <c r="J1337" s="59"/>
      <c r="K1337" s="58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  <c r="DI1337"/>
      <c r="DJ1337"/>
      <c r="DK1337"/>
      <c r="DL1337"/>
      <c r="DM1337"/>
      <c r="DN1337"/>
      <c r="DO1337"/>
      <c r="DP1337"/>
      <c r="DQ1337"/>
      <c r="DR1337"/>
      <c r="DS1337"/>
      <c r="DT1337"/>
      <c r="DU1337"/>
      <c r="DV1337"/>
      <c r="DW1337"/>
      <c r="DX1337"/>
      <c r="DY1337"/>
      <c r="DZ1337"/>
      <c r="EA1337"/>
      <c r="EB1337"/>
      <c r="EC1337"/>
      <c r="ED1337"/>
      <c r="EE1337"/>
      <c r="EF1337"/>
      <c r="EG1337"/>
      <c r="EH1337"/>
      <c r="EI1337"/>
      <c r="EJ1337"/>
      <c r="EK1337"/>
      <c r="EL1337"/>
      <c r="EM1337"/>
      <c r="EN1337"/>
      <c r="EO1337"/>
      <c r="EP1337"/>
      <c r="EQ1337"/>
      <c r="ER1337"/>
      <c r="ES1337"/>
      <c r="ET1337"/>
      <c r="EU1337"/>
      <c r="EV1337"/>
      <c r="EW1337"/>
      <c r="EX1337"/>
      <c r="EY1337"/>
      <c r="EZ1337"/>
      <c r="FA1337"/>
      <c r="FB1337"/>
      <c r="FC1337"/>
      <c r="FD1337"/>
      <c r="FE1337"/>
      <c r="FF1337"/>
      <c r="FG1337"/>
      <c r="FH1337"/>
      <c r="FI1337"/>
      <c r="FJ1337"/>
    </row>
    <row r="1338" spans="1:166" s="4" customFormat="1" x14ac:dyDescent="0.2">
      <c r="A1338" s="44"/>
      <c r="B1338" s="44"/>
      <c r="C1338" s="44"/>
      <c r="D1338" s="44"/>
      <c r="E1338" s="44"/>
      <c r="F1338" s="58"/>
      <c r="G1338" s="32"/>
      <c r="H1338" s="58"/>
      <c r="I1338" s="58"/>
      <c r="J1338" s="59"/>
      <c r="K1338" s="5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  <c r="DI1338"/>
      <c r="DJ1338"/>
      <c r="DK1338"/>
      <c r="DL1338"/>
      <c r="DM1338"/>
      <c r="DN1338"/>
      <c r="DO1338"/>
      <c r="DP1338"/>
      <c r="DQ1338"/>
      <c r="DR1338"/>
      <c r="DS1338"/>
      <c r="DT1338"/>
      <c r="DU1338"/>
      <c r="DV1338"/>
      <c r="DW1338"/>
      <c r="DX1338"/>
      <c r="DY1338"/>
      <c r="DZ1338"/>
      <c r="EA1338"/>
      <c r="EB1338"/>
      <c r="EC1338"/>
      <c r="ED1338"/>
      <c r="EE1338"/>
      <c r="EF1338"/>
      <c r="EG1338"/>
      <c r="EH1338"/>
      <c r="EI1338"/>
      <c r="EJ1338"/>
      <c r="EK1338"/>
      <c r="EL1338"/>
      <c r="EM1338"/>
      <c r="EN1338"/>
      <c r="EO1338"/>
      <c r="EP1338"/>
      <c r="EQ1338"/>
      <c r="ER1338"/>
      <c r="ES1338"/>
      <c r="ET1338"/>
      <c r="EU1338"/>
      <c r="EV1338"/>
      <c r="EW1338"/>
      <c r="EX1338"/>
      <c r="EY1338"/>
      <c r="EZ1338"/>
      <c r="FA1338"/>
      <c r="FB1338"/>
      <c r="FC1338"/>
      <c r="FD1338"/>
      <c r="FE1338"/>
      <c r="FF1338"/>
      <c r="FG1338"/>
      <c r="FH1338"/>
      <c r="FI1338"/>
      <c r="FJ1338"/>
    </row>
    <row r="1339" spans="1:166" s="4" customFormat="1" x14ac:dyDescent="0.2">
      <c r="A1339" s="44"/>
      <c r="B1339" s="44"/>
      <c r="C1339" s="44"/>
      <c r="D1339" s="44"/>
      <c r="E1339" s="44"/>
      <c r="F1339" s="58"/>
      <c r="G1339" s="32"/>
      <c r="H1339" s="58"/>
      <c r="I1339" s="58"/>
      <c r="J1339" s="59"/>
      <c r="K1339" s="58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  <c r="DI1339"/>
      <c r="DJ1339"/>
      <c r="DK1339"/>
      <c r="DL1339"/>
      <c r="DM1339"/>
      <c r="DN1339"/>
      <c r="DO1339"/>
      <c r="DP1339"/>
      <c r="DQ1339"/>
      <c r="DR1339"/>
      <c r="DS1339"/>
      <c r="DT1339"/>
      <c r="DU1339"/>
      <c r="DV1339"/>
      <c r="DW1339"/>
      <c r="DX1339"/>
      <c r="DY1339"/>
      <c r="DZ1339"/>
      <c r="EA1339"/>
      <c r="EB1339"/>
      <c r="EC1339"/>
      <c r="ED1339"/>
      <c r="EE1339"/>
      <c r="EF1339"/>
      <c r="EG1339"/>
      <c r="EH1339"/>
      <c r="EI1339"/>
      <c r="EJ1339"/>
      <c r="EK1339"/>
      <c r="EL1339"/>
      <c r="EM1339"/>
      <c r="EN1339"/>
      <c r="EO1339"/>
      <c r="EP1339"/>
      <c r="EQ1339"/>
      <c r="ER1339"/>
      <c r="ES1339"/>
      <c r="ET1339"/>
      <c r="EU1339"/>
      <c r="EV1339"/>
      <c r="EW1339"/>
      <c r="EX1339"/>
      <c r="EY1339"/>
      <c r="EZ1339"/>
      <c r="FA1339"/>
      <c r="FB1339"/>
      <c r="FC1339"/>
      <c r="FD1339"/>
      <c r="FE1339"/>
      <c r="FF1339"/>
      <c r="FG1339"/>
      <c r="FH1339"/>
      <c r="FI1339"/>
      <c r="FJ1339"/>
    </row>
    <row r="1340" spans="1:166" s="4" customFormat="1" x14ac:dyDescent="0.2">
      <c r="A1340" s="44"/>
      <c r="B1340" s="44"/>
      <c r="C1340" s="44"/>
      <c r="D1340" s="44"/>
      <c r="E1340" s="44"/>
      <c r="F1340" s="58"/>
      <c r="G1340" s="32"/>
      <c r="H1340" s="58"/>
      <c r="I1340" s="58"/>
      <c r="J1340" s="59"/>
      <c r="K1340" s="58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  <c r="DI1340"/>
      <c r="DJ1340"/>
      <c r="DK1340"/>
      <c r="DL1340"/>
      <c r="DM1340"/>
      <c r="DN1340"/>
      <c r="DO1340"/>
      <c r="DP1340"/>
      <c r="DQ1340"/>
      <c r="DR1340"/>
      <c r="DS1340"/>
      <c r="DT1340"/>
      <c r="DU1340"/>
      <c r="DV1340"/>
      <c r="DW1340"/>
      <c r="DX1340"/>
      <c r="DY1340"/>
      <c r="DZ1340"/>
      <c r="EA1340"/>
      <c r="EB1340"/>
      <c r="EC1340"/>
      <c r="ED1340"/>
      <c r="EE1340"/>
      <c r="EF1340"/>
      <c r="EG1340"/>
      <c r="EH1340"/>
      <c r="EI1340"/>
      <c r="EJ1340"/>
      <c r="EK1340"/>
      <c r="EL1340"/>
      <c r="EM1340"/>
      <c r="EN1340"/>
      <c r="EO1340"/>
      <c r="EP1340"/>
      <c r="EQ1340"/>
      <c r="ER1340"/>
      <c r="ES1340"/>
      <c r="ET1340"/>
      <c r="EU1340"/>
      <c r="EV1340"/>
      <c r="EW1340"/>
      <c r="EX1340"/>
      <c r="EY1340"/>
      <c r="EZ1340"/>
      <c r="FA1340"/>
      <c r="FB1340"/>
      <c r="FC1340"/>
      <c r="FD1340"/>
      <c r="FE1340"/>
      <c r="FF1340"/>
      <c r="FG1340"/>
      <c r="FH1340"/>
      <c r="FI1340"/>
      <c r="FJ1340"/>
    </row>
    <row r="1341" spans="1:166" s="4" customFormat="1" x14ac:dyDescent="0.2">
      <c r="A1341" s="44"/>
      <c r="B1341" s="44"/>
      <c r="C1341" s="44"/>
      <c r="D1341" s="44"/>
      <c r="E1341" s="44"/>
      <c r="F1341" s="58"/>
      <c r="G1341" s="32"/>
      <c r="H1341" s="58"/>
      <c r="I1341" s="58"/>
      <c r="J1341" s="59"/>
      <c r="K1341" s="58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  <c r="DI1341"/>
      <c r="DJ1341"/>
      <c r="DK1341"/>
      <c r="DL1341"/>
      <c r="DM1341"/>
      <c r="DN1341"/>
      <c r="DO1341"/>
      <c r="DP1341"/>
      <c r="DQ1341"/>
      <c r="DR1341"/>
      <c r="DS1341"/>
      <c r="DT1341"/>
      <c r="DU1341"/>
      <c r="DV1341"/>
      <c r="DW1341"/>
      <c r="DX1341"/>
      <c r="DY1341"/>
      <c r="DZ1341"/>
      <c r="EA1341"/>
      <c r="EB1341"/>
      <c r="EC1341"/>
      <c r="ED1341"/>
      <c r="EE1341"/>
      <c r="EF1341"/>
      <c r="EG1341"/>
      <c r="EH1341"/>
      <c r="EI1341"/>
      <c r="EJ1341"/>
      <c r="EK1341"/>
      <c r="EL1341"/>
      <c r="EM1341"/>
      <c r="EN1341"/>
      <c r="EO1341"/>
      <c r="EP1341"/>
      <c r="EQ1341"/>
      <c r="ER1341"/>
      <c r="ES1341"/>
      <c r="ET1341"/>
      <c r="EU1341"/>
      <c r="EV1341"/>
      <c r="EW1341"/>
      <c r="EX1341"/>
      <c r="EY1341"/>
      <c r="EZ1341"/>
      <c r="FA1341"/>
      <c r="FB1341"/>
      <c r="FC1341"/>
      <c r="FD1341"/>
      <c r="FE1341"/>
      <c r="FF1341"/>
      <c r="FG1341"/>
      <c r="FH1341"/>
      <c r="FI1341"/>
      <c r="FJ1341"/>
    </row>
    <row r="1342" spans="1:166" s="4" customFormat="1" x14ac:dyDescent="0.2">
      <c r="A1342" s="44"/>
      <c r="B1342" s="44"/>
      <c r="C1342" s="44"/>
      <c r="D1342" s="44"/>
      <c r="E1342" s="44"/>
      <c r="F1342" s="58"/>
      <c r="G1342" s="32"/>
      <c r="H1342" s="58"/>
      <c r="I1342" s="58"/>
      <c r="J1342" s="59"/>
      <c r="K1342" s="58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  <c r="DI1342"/>
      <c r="DJ1342"/>
      <c r="DK1342"/>
      <c r="DL1342"/>
      <c r="DM1342"/>
      <c r="DN1342"/>
      <c r="DO1342"/>
      <c r="DP1342"/>
      <c r="DQ1342"/>
      <c r="DR1342"/>
      <c r="DS1342"/>
      <c r="DT1342"/>
      <c r="DU1342"/>
      <c r="DV1342"/>
      <c r="DW1342"/>
      <c r="DX1342"/>
      <c r="DY1342"/>
      <c r="DZ1342"/>
      <c r="EA1342"/>
      <c r="EB1342"/>
      <c r="EC1342"/>
      <c r="ED1342"/>
      <c r="EE1342"/>
      <c r="EF1342"/>
      <c r="EG1342"/>
      <c r="EH1342"/>
      <c r="EI1342"/>
      <c r="EJ1342"/>
      <c r="EK1342"/>
      <c r="EL1342"/>
      <c r="EM1342"/>
      <c r="EN1342"/>
      <c r="EO1342"/>
      <c r="EP1342"/>
      <c r="EQ1342"/>
      <c r="ER1342"/>
      <c r="ES1342"/>
      <c r="ET1342"/>
      <c r="EU1342"/>
      <c r="EV1342"/>
      <c r="EW1342"/>
      <c r="EX1342"/>
      <c r="EY1342"/>
      <c r="EZ1342"/>
      <c r="FA1342"/>
      <c r="FB1342"/>
      <c r="FC1342"/>
      <c r="FD1342"/>
      <c r="FE1342"/>
      <c r="FF1342"/>
      <c r="FG1342"/>
      <c r="FH1342"/>
      <c r="FI1342"/>
      <c r="FJ1342"/>
    </row>
    <row r="1343" spans="1:166" s="4" customFormat="1" x14ac:dyDescent="0.2">
      <c r="A1343" s="44"/>
      <c r="B1343" s="44"/>
      <c r="C1343" s="44"/>
      <c r="D1343" s="44"/>
      <c r="E1343" s="44"/>
      <c r="F1343" s="58"/>
      <c r="G1343" s="32"/>
      <c r="H1343" s="58"/>
      <c r="I1343" s="58"/>
      <c r="J1343" s="59"/>
      <c r="K1343" s="58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  <c r="DI1343"/>
      <c r="DJ1343"/>
      <c r="DK1343"/>
      <c r="DL1343"/>
      <c r="DM1343"/>
      <c r="DN1343"/>
      <c r="DO1343"/>
      <c r="DP1343"/>
      <c r="DQ1343"/>
      <c r="DR1343"/>
      <c r="DS1343"/>
      <c r="DT1343"/>
      <c r="DU1343"/>
      <c r="DV1343"/>
      <c r="DW1343"/>
      <c r="DX1343"/>
      <c r="DY1343"/>
      <c r="DZ1343"/>
      <c r="EA1343"/>
      <c r="EB1343"/>
      <c r="EC1343"/>
      <c r="ED1343"/>
      <c r="EE1343"/>
      <c r="EF1343"/>
      <c r="EG1343"/>
      <c r="EH1343"/>
      <c r="EI1343"/>
      <c r="EJ1343"/>
      <c r="EK1343"/>
      <c r="EL1343"/>
      <c r="EM1343"/>
      <c r="EN1343"/>
      <c r="EO1343"/>
      <c r="EP1343"/>
      <c r="EQ1343"/>
      <c r="ER1343"/>
      <c r="ES1343"/>
      <c r="ET1343"/>
      <c r="EU1343"/>
      <c r="EV1343"/>
      <c r="EW1343"/>
      <c r="EX1343"/>
      <c r="EY1343"/>
      <c r="EZ1343"/>
      <c r="FA1343"/>
      <c r="FB1343"/>
      <c r="FC1343"/>
      <c r="FD1343"/>
      <c r="FE1343"/>
      <c r="FF1343"/>
      <c r="FG1343"/>
      <c r="FH1343"/>
      <c r="FI1343"/>
      <c r="FJ1343"/>
    </row>
    <row r="1344" spans="1:166" s="4" customFormat="1" x14ac:dyDescent="0.2">
      <c r="A1344" s="44"/>
      <c r="B1344" s="44"/>
      <c r="C1344" s="44"/>
      <c r="D1344" s="44"/>
      <c r="E1344" s="44"/>
      <c r="F1344" s="58"/>
      <c r="G1344" s="32"/>
      <c r="H1344" s="58"/>
      <c r="I1344" s="58"/>
      <c r="J1344" s="59"/>
      <c r="K1344" s="58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  <c r="DI1344"/>
      <c r="DJ1344"/>
      <c r="DK1344"/>
      <c r="DL1344"/>
      <c r="DM1344"/>
      <c r="DN1344"/>
      <c r="DO1344"/>
      <c r="DP1344"/>
      <c r="DQ1344"/>
      <c r="DR1344"/>
      <c r="DS1344"/>
      <c r="DT1344"/>
      <c r="DU1344"/>
      <c r="DV1344"/>
      <c r="DW1344"/>
      <c r="DX1344"/>
      <c r="DY1344"/>
      <c r="DZ1344"/>
      <c r="EA1344"/>
      <c r="EB1344"/>
      <c r="EC1344"/>
      <c r="ED1344"/>
      <c r="EE1344"/>
      <c r="EF1344"/>
      <c r="EG1344"/>
      <c r="EH1344"/>
      <c r="EI1344"/>
      <c r="EJ1344"/>
      <c r="EK1344"/>
      <c r="EL1344"/>
      <c r="EM1344"/>
      <c r="EN1344"/>
      <c r="EO1344"/>
      <c r="EP1344"/>
      <c r="EQ1344"/>
      <c r="ER1344"/>
      <c r="ES1344"/>
      <c r="ET1344"/>
      <c r="EU1344"/>
      <c r="EV1344"/>
      <c r="EW1344"/>
      <c r="EX1344"/>
      <c r="EY1344"/>
      <c r="EZ1344"/>
      <c r="FA1344"/>
      <c r="FB1344"/>
      <c r="FC1344"/>
      <c r="FD1344"/>
      <c r="FE1344"/>
      <c r="FF1344"/>
      <c r="FG1344"/>
      <c r="FH1344"/>
      <c r="FI1344"/>
      <c r="FJ1344"/>
    </row>
    <row r="1345" spans="1:166" s="4" customFormat="1" x14ac:dyDescent="0.2">
      <c r="A1345" s="44"/>
      <c r="B1345" s="44"/>
      <c r="C1345" s="44"/>
      <c r="D1345" s="44"/>
      <c r="E1345" s="44"/>
      <c r="F1345" s="58"/>
      <c r="G1345" s="32"/>
      <c r="H1345" s="58"/>
      <c r="I1345" s="58"/>
      <c r="J1345" s="59"/>
      <c r="K1345" s="58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  <c r="DI1345"/>
      <c r="DJ1345"/>
      <c r="DK1345"/>
      <c r="DL1345"/>
      <c r="DM1345"/>
      <c r="DN1345"/>
      <c r="DO1345"/>
      <c r="DP1345"/>
      <c r="DQ1345"/>
      <c r="DR1345"/>
      <c r="DS1345"/>
      <c r="DT1345"/>
      <c r="DU1345"/>
      <c r="DV1345"/>
      <c r="DW1345"/>
      <c r="DX1345"/>
      <c r="DY1345"/>
      <c r="DZ1345"/>
      <c r="EA1345"/>
      <c r="EB1345"/>
      <c r="EC1345"/>
      <c r="ED1345"/>
      <c r="EE1345"/>
      <c r="EF1345"/>
      <c r="EG1345"/>
      <c r="EH1345"/>
      <c r="EI1345"/>
      <c r="EJ1345"/>
      <c r="EK1345"/>
      <c r="EL1345"/>
      <c r="EM1345"/>
      <c r="EN1345"/>
      <c r="EO1345"/>
      <c r="EP1345"/>
      <c r="EQ1345"/>
      <c r="ER1345"/>
      <c r="ES1345"/>
      <c r="ET1345"/>
      <c r="EU1345"/>
      <c r="EV1345"/>
      <c r="EW1345"/>
      <c r="EX1345"/>
      <c r="EY1345"/>
      <c r="EZ1345"/>
      <c r="FA1345"/>
      <c r="FB1345"/>
      <c r="FC1345"/>
      <c r="FD1345"/>
      <c r="FE1345"/>
      <c r="FF1345"/>
      <c r="FG1345"/>
      <c r="FH1345"/>
      <c r="FI1345"/>
      <c r="FJ1345"/>
    </row>
    <row r="1346" spans="1:166" s="4" customFormat="1" x14ac:dyDescent="0.2">
      <c r="A1346" s="44"/>
      <c r="B1346" s="44"/>
      <c r="C1346" s="44"/>
      <c r="D1346" s="44"/>
      <c r="E1346" s="44"/>
      <c r="F1346" s="58"/>
      <c r="G1346" s="32"/>
      <c r="H1346" s="58"/>
      <c r="I1346" s="58"/>
      <c r="J1346" s="59"/>
      <c r="K1346" s="58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  <c r="DI1346"/>
      <c r="DJ1346"/>
      <c r="DK1346"/>
      <c r="DL1346"/>
      <c r="DM1346"/>
      <c r="DN1346"/>
      <c r="DO1346"/>
      <c r="DP1346"/>
      <c r="DQ1346"/>
      <c r="DR1346"/>
      <c r="DS1346"/>
      <c r="DT1346"/>
      <c r="DU1346"/>
      <c r="DV1346"/>
      <c r="DW1346"/>
      <c r="DX1346"/>
      <c r="DY1346"/>
      <c r="DZ1346"/>
      <c r="EA1346"/>
      <c r="EB1346"/>
      <c r="EC1346"/>
      <c r="ED1346"/>
      <c r="EE1346"/>
      <c r="EF1346"/>
      <c r="EG1346"/>
      <c r="EH1346"/>
      <c r="EI1346"/>
      <c r="EJ1346"/>
      <c r="EK1346"/>
      <c r="EL1346"/>
      <c r="EM1346"/>
      <c r="EN1346"/>
      <c r="EO1346"/>
      <c r="EP1346"/>
      <c r="EQ1346"/>
      <c r="ER1346"/>
      <c r="ES1346"/>
      <c r="ET1346"/>
      <c r="EU1346"/>
      <c r="EV1346"/>
      <c r="EW1346"/>
      <c r="EX1346"/>
      <c r="EY1346"/>
      <c r="EZ1346"/>
      <c r="FA1346"/>
      <c r="FB1346"/>
      <c r="FC1346"/>
      <c r="FD1346"/>
      <c r="FE1346"/>
      <c r="FF1346"/>
      <c r="FG1346"/>
      <c r="FH1346"/>
      <c r="FI1346"/>
      <c r="FJ1346"/>
    </row>
    <row r="1347" spans="1:166" s="4" customFormat="1" x14ac:dyDescent="0.2">
      <c r="A1347" s="44"/>
      <c r="B1347" s="44"/>
      <c r="C1347" s="44"/>
      <c r="D1347" s="44"/>
      <c r="E1347" s="44"/>
      <c r="F1347" s="58"/>
      <c r="G1347" s="32"/>
      <c r="H1347" s="58"/>
      <c r="I1347" s="58"/>
      <c r="J1347" s="59"/>
      <c r="K1347" s="58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  <c r="DI1347"/>
      <c r="DJ1347"/>
      <c r="DK1347"/>
      <c r="DL1347"/>
      <c r="DM1347"/>
      <c r="DN1347"/>
      <c r="DO1347"/>
      <c r="DP1347"/>
      <c r="DQ1347"/>
      <c r="DR1347"/>
      <c r="DS1347"/>
      <c r="DT1347"/>
      <c r="DU1347"/>
      <c r="DV1347"/>
      <c r="DW1347"/>
      <c r="DX1347"/>
      <c r="DY1347"/>
      <c r="DZ1347"/>
      <c r="EA1347"/>
      <c r="EB1347"/>
      <c r="EC1347"/>
      <c r="ED1347"/>
      <c r="EE1347"/>
      <c r="EF1347"/>
      <c r="EG1347"/>
      <c r="EH1347"/>
      <c r="EI1347"/>
      <c r="EJ1347"/>
      <c r="EK1347"/>
      <c r="EL1347"/>
      <c r="EM1347"/>
      <c r="EN1347"/>
      <c r="EO1347"/>
      <c r="EP1347"/>
      <c r="EQ1347"/>
      <c r="ER1347"/>
      <c r="ES1347"/>
      <c r="ET1347"/>
      <c r="EU1347"/>
      <c r="EV1347"/>
      <c r="EW1347"/>
      <c r="EX1347"/>
      <c r="EY1347"/>
      <c r="EZ1347"/>
      <c r="FA1347"/>
      <c r="FB1347"/>
      <c r="FC1347"/>
      <c r="FD1347"/>
      <c r="FE1347"/>
      <c r="FF1347"/>
      <c r="FG1347"/>
      <c r="FH1347"/>
      <c r="FI1347"/>
      <c r="FJ1347"/>
    </row>
    <row r="1348" spans="1:166" s="4" customFormat="1" x14ac:dyDescent="0.2">
      <c r="A1348" s="44"/>
      <c r="B1348" s="44"/>
      <c r="C1348" s="44"/>
      <c r="D1348" s="44"/>
      <c r="E1348" s="44"/>
      <c r="F1348" s="58"/>
      <c r="G1348" s="32"/>
      <c r="H1348" s="58"/>
      <c r="I1348" s="58"/>
      <c r="J1348" s="59"/>
      <c r="K1348" s="5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  <c r="DI1348"/>
      <c r="DJ1348"/>
      <c r="DK1348"/>
      <c r="DL1348"/>
      <c r="DM1348"/>
      <c r="DN1348"/>
      <c r="DO1348"/>
      <c r="DP1348"/>
      <c r="DQ1348"/>
      <c r="DR1348"/>
      <c r="DS1348"/>
      <c r="DT1348"/>
      <c r="DU1348"/>
      <c r="DV1348"/>
      <c r="DW1348"/>
      <c r="DX1348"/>
      <c r="DY1348"/>
      <c r="DZ1348"/>
      <c r="EA1348"/>
      <c r="EB1348"/>
      <c r="EC1348"/>
      <c r="ED1348"/>
      <c r="EE1348"/>
      <c r="EF1348"/>
      <c r="EG1348"/>
      <c r="EH1348"/>
      <c r="EI1348"/>
      <c r="EJ1348"/>
      <c r="EK1348"/>
      <c r="EL1348"/>
      <c r="EM1348"/>
      <c r="EN1348"/>
      <c r="EO1348"/>
      <c r="EP1348"/>
      <c r="EQ1348"/>
      <c r="ER1348"/>
      <c r="ES1348"/>
      <c r="ET1348"/>
      <c r="EU1348"/>
      <c r="EV1348"/>
      <c r="EW1348"/>
      <c r="EX1348"/>
      <c r="EY1348"/>
      <c r="EZ1348"/>
      <c r="FA1348"/>
      <c r="FB1348"/>
      <c r="FC1348"/>
      <c r="FD1348"/>
      <c r="FE1348"/>
      <c r="FF1348"/>
      <c r="FG1348"/>
      <c r="FH1348"/>
      <c r="FI1348"/>
      <c r="FJ1348"/>
    </row>
    <row r="1349" spans="1:166" s="4" customFormat="1" x14ac:dyDescent="0.2">
      <c r="A1349" s="44"/>
      <c r="B1349" s="44"/>
      <c r="C1349" s="44"/>
      <c r="D1349" s="44"/>
      <c r="E1349" s="44"/>
      <c r="F1349" s="58"/>
      <c r="G1349" s="32"/>
      <c r="H1349" s="58"/>
      <c r="I1349" s="58"/>
      <c r="J1349" s="59"/>
      <c r="K1349" s="58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  <c r="DI1349"/>
      <c r="DJ1349"/>
      <c r="DK1349"/>
      <c r="DL1349"/>
      <c r="DM1349"/>
      <c r="DN1349"/>
      <c r="DO1349"/>
      <c r="DP1349"/>
      <c r="DQ1349"/>
      <c r="DR1349"/>
      <c r="DS1349"/>
      <c r="DT1349"/>
      <c r="DU1349"/>
      <c r="DV1349"/>
      <c r="DW1349"/>
      <c r="DX1349"/>
      <c r="DY1349"/>
      <c r="DZ1349"/>
      <c r="EA1349"/>
      <c r="EB1349"/>
      <c r="EC1349"/>
      <c r="ED1349"/>
      <c r="EE1349"/>
      <c r="EF1349"/>
      <c r="EG1349"/>
      <c r="EH1349"/>
      <c r="EI1349"/>
      <c r="EJ1349"/>
      <c r="EK1349"/>
      <c r="EL1349"/>
      <c r="EM1349"/>
      <c r="EN1349"/>
      <c r="EO1349"/>
      <c r="EP1349"/>
      <c r="EQ1349"/>
      <c r="ER1349"/>
      <c r="ES1349"/>
      <c r="ET1349"/>
      <c r="EU1349"/>
      <c r="EV1349"/>
      <c r="EW1349"/>
      <c r="EX1349"/>
      <c r="EY1349"/>
      <c r="EZ1349"/>
      <c r="FA1349"/>
      <c r="FB1349"/>
      <c r="FC1349"/>
      <c r="FD1349"/>
      <c r="FE1349"/>
      <c r="FF1349"/>
      <c r="FG1349"/>
      <c r="FH1349"/>
      <c r="FI1349"/>
      <c r="FJ1349"/>
    </row>
    <row r="1350" spans="1:166" s="4" customFormat="1" x14ac:dyDescent="0.2">
      <c r="A1350" s="44"/>
      <c r="B1350" s="44"/>
      <c r="C1350" s="44"/>
      <c r="D1350" s="44"/>
      <c r="E1350" s="44"/>
      <c r="F1350" s="58"/>
      <c r="G1350" s="32"/>
      <c r="H1350" s="58"/>
      <c r="I1350" s="58"/>
      <c r="J1350" s="59"/>
      <c r="K1350" s="58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  <c r="DI1350"/>
      <c r="DJ1350"/>
      <c r="DK1350"/>
      <c r="DL1350"/>
      <c r="DM1350"/>
      <c r="DN1350"/>
      <c r="DO1350"/>
      <c r="DP1350"/>
      <c r="DQ1350"/>
      <c r="DR1350"/>
      <c r="DS1350"/>
      <c r="DT1350"/>
      <c r="DU1350"/>
      <c r="DV1350"/>
      <c r="DW1350"/>
      <c r="DX1350"/>
      <c r="DY1350"/>
      <c r="DZ1350"/>
      <c r="EA1350"/>
      <c r="EB1350"/>
      <c r="EC1350"/>
      <c r="ED1350"/>
      <c r="EE1350"/>
      <c r="EF1350"/>
      <c r="EG1350"/>
      <c r="EH1350"/>
      <c r="EI1350"/>
      <c r="EJ1350"/>
      <c r="EK1350"/>
      <c r="EL1350"/>
      <c r="EM1350"/>
      <c r="EN1350"/>
      <c r="EO1350"/>
      <c r="EP1350"/>
      <c r="EQ1350"/>
      <c r="ER1350"/>
      <c r="ES1350"/>
      <c r="ET1350"/>
      <c r="EU1350"/>
      <c r="EV1350"/>
      <c r="EW1350"/>
      <c r="EX1350"/>
      <c r="EY1350"/>
      <c r="EZ1350"/>
      <c r="FA1350"/>
      <c r="FB1350"/>
      <c r="FC1350"/>
      <c r="FD1350"/>
      <c r="FE1350"/>
      <c r="FF1350"/>
      <c r="FG1350"/>
      <c r="FH1350"/>
      <c r="FI1350"/>
      <c r="FJ1350"/>
    </row>
    <row r="1351" spans="1:166" s="4" customFormat="1" x14ac:dyDescent="0.2">
      <c r="A1351" s="44"/>
      <c r="B1351" s="44"/>
      <c r="C1351" s="44"/>
      <c r="D1351" s="44"/>
      <c r="E1351" s="44"/>
      <c r="F1351" s="58"/>
      <c r="G1351" s="32"/>
      <c r="H1351" s="58"/>
      <c r="I1351" s="58"/>
      <c r="J1351" s="59"/>
      <c r="K1351" s="58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  <c r="DI1351"/>
      <c r="DJ1351"/>
      <c r="DK1351"/>
      <c r="DL1351"/>
      <c r="DM1351"/>
      <c r="DN1351"/>
      <c r="DO1351"/>
      <c r="DP1351"/>
      <c r="DQ1351"/>
      <c r="DR1351"/>
      <c r="DS1351"/>
      <c r="DT1351"/>
      <c r="DU1351"/>
      <c r="DV1351"/>
      <c r="DW1351"/>
      <c r="DX1351"/>
      <c r="DY1351"/>
      <c r="DZ1351"/>
      <c r="EA1351"/>
      <c r="EB1351"/>
      <c r="EC1351"/>
      <c r="ED1351"/>
      <c r="EE1351"/>
      <c r="EF1351"/>
      <c r="EG1351"/>
      <c r="EH1351"/>
      <c r="EI1351"/>
      <c r="EJ1351"/>
      <c r="EK1351"/>
      <c r="EL1351"/>
      <c r="EM1351"/>
      <c r="EN1351"/>
      <c r="EO1351"/>
      <c r="EP1351"/>
      <c r="EQ1351"/>
      <c r="ER1351"/>
      <c r="ES1351"/>
      <c r="ET1351"/>
      <c r="EU1351"/>
      <c r="EV1351"/>
      <c r="EW1351"/>
      <c r="EX1351"/>
      <c r="EY1351"/>
      <c r="EZ1351"/>
      <c r="FA1351"/>
      <c r="FB1351"/>
      <c r="FC1351"/>
      <c r="FD1351"/>
      <c r="FE1351"/>
      <c r="FF1351"/>
      <c r="FG1351"/>
      <c r="FH1351"/>
      <c r="FI1351"/>
      <c r="FJ1351"/>
    </row>
    <row r="1352" spans="1:166" s="4" customFormat="1" x14ac:dyDescent="0.2">
      <c r="A1352" s="44"/>
      <c r="B1352" s="44"/>
      <c r="C1352" s="44"/>
      <c r="D1352" s="44"/>
      <c r="E1352" s="44"/>
      <c r="F1352" s="58"/>
      <c r="G1352" s="32"/>
      <c r="H1352" s="58"/>
      <c r="I1352" s="58"/>
      <c r="J1352" s="59"/>
      <c r="K1352" s="58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  <c r="DI1352"/>
      <c r="DJ1352"/>
      <c r="DK1352"/>
      <c r="DL1352"/>
      <c r="DM1352"/>
      <c r="DN1352"/>
      <c r="DO1352"/>
      <c r="DP1352"/>
      <c r="DQ1352"/>
      <c r="DR1352"/>
      <c r="DS1352"/>
      <c r="DT1352"/>
      <c r="DU1352"/>
      <c r="DV1352"/>
      <c r="DW1352"/>
      <c r="DX1352"/>
      <c r="DY1352"/>
      <c r="DZ1352"/>
      <c r="EA1352"/>
      <c r="EB1352"/>
      <c r="EC1352"/>
      <c r="ED1352"/>
      <c r="EE1352"/>
      <c r="EF1352"/>
      <c r="EG1352"/>
      <c r="EH1352"/>
      <c r="EI1352"/>
      <c r="EJ1352"/>
      <c r="EK1352"/>
      <c r="EL1352"/>
      <c r="EM1352"/>
      <c r="EN1352"/>
      <c r="EO1352"/>
      <c r="EP1352"/>
      <c r="EQ1352"/>
      <c r="ER1352"/>
      <c r="ES1352"/>
      <c r="ET1352"/>
      <c r="EU1352"/>
      <c r="EV1352"/>
      <c r="EW1352"/>
      <c r="EX1352"/>
      <c r="EY1352"/>
      <c r="EZ1352"/>
      <c r="FA1352"/>
      <c r="FB1352"/>
      <c r="FC1352"/>
      <c r="FD1352"/>
      <c r="FE1352"/>
      <c r="FF1352"/>
      <c r="FG1352"/>
      <c r="FH1352"/>
      <c r="FI1352"/>
      <c r="FJ1352"/>
    </row>
    <row r="1353" spans="1:166" s="4" customFormat="1" x14ac:dyDescent="0.2">
      <c r="A1353" s="44"/>
      <c r="B1353" s="44"/>
      <c r="C1353" s="44"/>
      <c r="D1353" s="44"/>
      <c r="E1353" s="44"/>
      <c r="F1353" s="58"/>
      <c r="G1353" s="32"/>
      <c r="H1353" s="58"/>
      <c r="I1353" s="58"/>
      <c r="J1353" s="59"/>
      <c r="K1353" s="58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  <c r="DI1353"/>
      <c r="DJ1353"/>
      <c r="DK1353"/>
      <c r="DL1353"/>
      <c r="DM1353"/>
      <c r="DN1353"/>
      <c r="DO1353"/>
      <c r="DP1353"/>
      <c r="DQ1353"/>
      <c r="DR1353"/>
      <c r="DS1353"/>
      <c r="DT1353"/>
      <c r="DU1353"/>
      <c r="DV1353"/>
      <c r="DW1353"/>
      <c r="DX1353"/>
      <c r="DY1353"/>
      <c r="DZ1353"/>
      <c r="EA1353"/>
      <c r="EB1353"/>
      <c r="EC1353"/>
      <c r="ED1353"/>
      <c r="EE1353"/>
      <c r="EF1353"/>
      <c r="EG1353"/>
      <c r="EH1353"/>
      <c r="EI1353"/>
      <c r="EJ1353"/>
      <c r="EK1353"/>
      <c r="EL1353"/>
      <c r="EM1353"/>
      <c r="EN1353"/>
      <c r="EO1353"/>
      <c r="EP1353"/>
      <c r="EQ1353"/>
      <c r="ER1353"/>
      <c r="ES1353"/>
      <c r="ET1353"/>
      <c r="EU1353"/>
      <c r="EV1353"/>
      <c r="EW1353"/>
      <c r="EX1353"/>
      <c r="EY1353"/>
      <c r="EZ1353"/>
      <c r="FA1353"/>
      <c r="FB1353"/>
      <c r="FC1353"/>
      <c r="FD1353"/>
      <c r="FE1353"/>
      <c r="FF1353"/>
      <c r="FG1353"/>
      <c r="FH1353"/>
      <c r="FI1353"/>
      <c r="FJ1353"/>
    </row>
    <row r="1354" spans="1:166" s="4" customFormat="1" x14ac:dyDescent="0.2">
      <c r="A1354" s="44"/>
      <c r="B1354" s="44"/>
      <c r="C1354" s="44"/>
      <c r="D1354" s="44"/>
      <c r="E1354" s="44"/>
      <c r="F1354" s="58"/>
      <c r="G1354" s="32"/>
      <c r="H1354" s="58"/>
      <c r="I1354" s="58"/>
      <c r="J1354" s="59"/>
      <c r="K1354" s="58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  <c r="DI1354"/>
      <c r="DJ1354"/>
      <c r="DK1354"/>
      <c r="DL1354"/>
      <c r="DM1354"/>
      <c r="DN1354"/>
      <c r="DO1354"/>
      <c r="DP1354"/>
      <c r="DQ1354"/>
      <c r="DR1354"/>
      <c r="DS1354"/>
      <c r="DT1354"/>
      <c r="DU1354"/>
      <c r="DV1354"/>
      <c r="DW1354"/>
      <c r="DX1354"/>
      <c r="DY1354"/>
      <c r="DZ1354"/>
      <c r="EA1354"/>
      <c r="EB1354"/>
      <c r="EC1354"/>
      <c r="ED1354"/>
      <c r="EE1354"/>
      <c r="EF1354"/>
      <c r="EG1354"/>
      <c r="EH1354"/>
      <c r="EI1354"/>
      <c r="EJ1354"/>
      <c r="EK1354"/>
      <c r="EL1354"/>
      <c r="EM1354"/>
      <c r="EN1354"/>
      <c r="EO1354"/>
      <c r="EP1354"/>
      <c r="EQ1354"/>
      <c r="ER1354"/>
      <c r="ES1354"/>
      <c r="ET1354"/>
      <c r="EU1354"/>
      <c r="EV1354"/>
      <c r="EW1354"/>
      <c r="EX1354"/>
      <c r="EY1354"/>
      <c r="EZ1354"/>
      <c r="FA1354"/>
      <c r="FB1354"/>
      <c r="FC1354"/>
      <c r="FD1354"/>
      <c r="FE1354"/>
      <c r="FF1354"/>
      <c r="FG1354"/>
      <c r="FH1354"/>
      <c r="FI1354"/>
      <c r="FJ1354"/>
    </row>
    <row r="1355" spans="1:166" s="4" customFormat="1" x14ac:dyDescent="0.2">
      <c r="A1355" s="44"/>
      <c r="B1355" s="44"/>
      <c r="C1355" s="44"/>
      <c r="D1355" s="44"/>
      <c r="E1355" s="44"/>
      <c r="F1355" s="58"/>
      <c r="G1355" s="32"/>
      <c r="H1355" s="58"/>
      <c r="I1355" s="58"/>
      <c r="J1355" s="59"/>
      <c r="K1355" s="58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  <c r="DI1355"/>
      <c r="DJ1355"/>
      <c r="DK1355"/>
      <c r="DL1355"/>
      <c r="DM1355"/>
      <c r="DN1355"/>
      <c r="DO1355"/>
      <c r="DP1355"/>
      <c r="DQ1355"/>
      <c r="DR1355"/>
      <c r="DS1355"/>
      <c r="DT1355"/>
      <c r="DU1355"/>
      <c r="DV1355"/>
      <c r="DW1355"/>
      <c r="DX1355"/>
      <c r="DY1355"/>
      <c r="DZ1355"/>
      <c r="EA1355"/>
      <c r="EB1355"/>
      <c r="EC1355"/>
      <c r="ED1355"/>
      <c r="EE1355"/>
      <c r="EF1355"/>
      <c r="EG1355"/>
      <c r="EH1355"/>
      <c r="EI1355"/>
      <c r="EJ1355"/>
      <c r="EK1355"/>
      <c r="EL1355"/>
      <c r="EM1355"/>
      <c r="EN1355"/>
      <c r="EO1355"/>
      <c r="EP1355"/>
      <c r="EQ1355"/>
      <c r="ER1355"/>
      <c r="ES1355"/>
      <c r="ET1355"/>
      <c r="EU1355"/>
      <c r="EV1355"/>
      <c r="EW1355"/>
      <c r="EX1355"/>
      <c r="EY1355"/>
      <c r="EZ1355"/>
      <c r="FA1355"/>
      <c r="FB1355"/>
      <c r="FC1355"/>
      <c r="FD1355"/>
      <c r="FE1355"/>
      <c r="FF1355"/>
      <c r="FG1355"/>
      <c r="FH1355"/>
      <c r="FI1355"/>
      <c r="FJ1355"/>
    </row>
    <row r="1356" spans="1:166" s="4" customFormat="1" x14ac:dyDescent="0.2">
      <c r="A1356" s="44"/>
      <c r="B1356" s="44"/>
      <c r="C1356" s="44"/>
      <c r="D1356" s="44"/>
      <c r="E1356" s="44"/>
      <c r="F1356" s="58"/>
      <c r="G1356" s="32"/>
      <c r="H1356" s="58"/>
      <c r="I1356" s="58"/>
      <c r="J1356" s="59"/>
      <c r="K1356" s="58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  <c r="DJ1356"/>
      <c r="DK1356"/>
      <c r="DL1356"/>
      <c r="DM1356"/>
      <c r="DN1356"/>
      <c r="DO1356"/>
      <c r="DP1356"/>
      <c r="DQ1356"/>
      <c r="DR1356"/>
      <c r="DS1356"/>
      <c r="DT1356"/>
      <c r="DU1356"/>
      <c r="DV1356"/>
      <c r="DW1356"/>
      <c r="DX1356"/>
      <c r="DY1356"/>
      <c r="DZ1356"/>
      <c r="EA1356"/>
      <c r="EB1356"/>
      <c r="EC1356"/>
      <c r="ED1356"/>
      <c r="EE1356"/>
      <c r="EF1356"/>
      <c r="EG1356"/>
      <c r="EH1356"/>
      <c r="EI1356"/>
      <c r="EJ1356"/>
      <c r="EK1356"/>
      <c r="EL1356"/>
      <c r="EM1356"/>
      <c r="EN1356"/>
      <c r="EO1356"/>
      <c r="EP1356"/>
      <c r="EQ1356"/>
      <c r="ER1356"/>
      <c r="ES1356"/>
      <c r="ET1356"/>
      <c r="EU1356"/>
      <c r="EV1356"/>
      <c r="EW1356"/>
      <c r="EX1356"/>
      <c r="EY1356"/>
      <c r="EZ1356"/>
      <c r="FA1356"/>
      <c r="FB1356"/>
      <c r="FC1356"/>
      <c r="FD1356"/>
      <c r="FE1356"/>
      <c r="FF1356"/>
      <c r="FG1356"/>
      <c r="FH1356"/>
      <c r="FI1356"/>
      <c r="FJ1356"/>
    </row>
    <row r="1357" spans="1:166" s="4" customFormat="1" x14ac:dyDescent="0.2">
      <c r="A1357" s="44"/>
      <c r="B1357" s="44"/>
      <c r="C1357" s="44"/>
      <c r="D1357" s="44"/>
      <c r="E1357" s="44"/>
      <c r="F1357" s="58"/>
      <c r="G1357" s="32"/>
      <c r="H1357" s="58"/>
      <c r="I1357" s="58"/>
      <c r="J1357" s="59"/>
      <c r="K1357" s="58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  <c r="DJ1357"/>
      <c r="DK1357"/>
      <c r="DL1357"/>
      <c r="DM1357"/>
      <c r="DN1357"/>
      <c r="DO1357"/>
      <c r="DP1357"/>
      <c r="DQ1357"/>
      <c r="DR1357"/>
      <c r="DS1357"/>
      <c r="DT1357"/>
      <c r="DU1357"/>
      <c r="DV1357"/>
      <c r="DW1357"/>
      <c r="DX1357"/>
      <c r="DY1357"/>
      <c r="DZ1357"/>
      <c r="EA1357"/>
      <c r="EB1357"/>
      <c r="EC1357"/>
      <c r="ED1357"/>
      <c r="EE1357"/>
      <c r="EF1357"/>
      <c r="EG1357"/>
      <c r="EH1357"/>
      <c r="EI1357"/>
      <c r="EJ1357"/>
      <c r="EK1357"/>
      <c r="EL1357"/>
      <c r="EM1357"/>
      <c r="EN1357"/>
      <c r="EO1357"/>
      <c r="EP1357"/>
      <c r="EQ1357"/>
      <c r="ER1357"/>
      <c r="ES1357"/>
      <c r="ET1357"/>
      <c r="EU1357"/>
      <c r="EV1357"/>
      <c r="EW1357"/>
      <c r="EX1357"/>
      <c r="EY1357"/>
      <c r="EZ1357"/>
      <c r="FA1357"/>
      <c r="FB1357"/>
      <c r="FC1357"/>
      <c r="FD1357"/>
      <c r="FE1357"/>
      <c r="FF1357"/>
      <c r="FG1357"/>
      <c r="FH1357"/>
      <c r="FI1357"/>
      <c r="FJ1357"/>
    </row>
    <row r="1358" spans="1:166" s="4" customFormat="1" x14ac:dyDescent="0.2">
      <c r="A1358" s="44"/>
      <c r="B1358" s="44"/>
      <c r="C1358" s="44"/>
      <c r="D1358" s="44"/>
      <c r="E1358" s="44"/>
      <c r="F1358" s="58"/>
      <c r="G1358" s="32"/>
      <c r="H1358" s="58"/>
      <c r="I1358" s="58"/>
      <c r="J1358" s="59"/>
      <c r="K1358" s="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  <c r="DJ1358"/>
      <c r="DK1358"/>
      <c r="DL1358"/>
      <c r="DM1358"/>
      <c r="DN1358"/>
      <c r="DO1358"/>
      <c r="DP1358"/>
      <c r="DQ1358"/>
      <c r="DR1358"/>
      <c r="DS1358"/>
      <c r="DT1358"/>
      <c r="DU1358"/>
      <c r="DV1358"/>
      <c r="DW1358"/>
      <c r="DX1358"/>
      <c r="DY1358"/>
      <c r="DZ1358"/>
      <c r="EA1358"/>
      <c r="EB1358"/>
      <c r="EC1358"/>
      <c r="ED1358"/>
      <c r="EE1358"/>
      <c r="EF1358"/>
      <c r="EG1358"/>
      <c r="EH1358"/>
      <c r="EI1358"/>
      <c r="EJ1358"/>
      <c r="EK1358"/>
      <c r="EL1358"/>
      <c r="EM1358"/>
      <c r="EN1358"/>
      <c r="EO1358"/>
      <c r="EP1358"/>
      <c r="EQ1358"/>
      <c r="ER1358"/>
      <c r="ES1358"/>
      <c r="ET1358"/>
      <c r="EU1358"/>
      <c r="EV1358"/>
      <c r="EW1358"/>
      <c r="EX1358"/>
      <c r="EY1358"/>
      <c r="EZ1358"/>
      <c r="FA1358"/>
      <c r="FB1358"/>
      <c r="FC1358"/>
      <c r="FD1358"/>
      <c r="FE1358"/>
      <c r="FF1358"/>
      <c r="FG1358"/>
      <c r="FH1358"/>
      <c r="FI1358"/>
      <c r="FJ1358"/>
    </row>
    <row r="1359" spans="1:166" s="4" customFormat="1" x14ac:dyDescent="0.2">
      <c r="A1359" s="44"/>
      <c r="B1359" s="44"/>
      <c r="C1359" s="44"/>
      <c r="D1359" s="44"/>
      <c r="E1359" s="44"/>
      <c r="F1359" s="58"/>
      <c r="G1359" s="32"/>
      <c r="H1359" s="58"/>
      <c r="I1359" s="58"/>
      <c r="J1359" s="59"/>
      <c r="K1359" s="58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  <c r="DJ1359"/>
      <c r="DK1359"/>
      <c r="DL1359"/>
      <c r="DM1359"/>
      <c r="DN1359"/>
      <c r="DO1359"/>
      <c r="DP1359"/>
      <c r="DQ1359"/>
      <c r="DR1359"/>
      <c r="DS1359"/>
      <c r="DT1359"/>
      <c r="DU1359"/>
      <c r="DV1359"/>
      <c r="DW1359"/>
      <c r="DX1359"/>
      <c r="DY1359"/>
      <c r="DZ1359"/>
      <c r="EA1359"/>
      <c r="EB1359"/>
      <c r="EC1359"/>
      <c r="ED1359"/>
      <c r="EE1359"/>
      <c r="EF1359"/>
      <c r="EG1359"/>
      <c r="EH1359"/>
      <c r="EI1359"/>
      <c r="EJ1359"/>
      <c r="EK1359"/>
      <c r="EL1359"/>
      <c r="EM1359"/>
      <c r="EN1359"/>
      <c r="EO1359"/>
      <c r="EP1359"/>
      <c r="EQ1359"/>
      <c r="ER1359"/>
      <c r="ES1359"/>
      <c r="ET1359"/>
      <c r="EU1359"/>
      <c r="EV1359"/>
      <c r="EW1359"/>
      <c r="EX1359"/>
      <c r="EY1359"/>
      <c r="EZ1359"/>
      <c r="FA1359"/>
      <c r="FB1359"/>
      <c r="FC1359"/>
      <c r="FD1359"/>
      <c r="FE1359"/>
      <c r="FF1359"/>
      <c r="FG1359"/>
      <c r="FH1359"/>
      <c r="FI1359"/>
      <c r="FJ1359"/>
    </row>
    <row r="1360" spans="1:166" s="4" customFormat="1" x14ac:dyDescent="0.2">
      <c r="A1360" s="44"/>
      <c r="B1360" s="44"/>
      <c r="C1360" s="44"/>
      <c r="D1360" s="44"/>
      <c r="E1360" s="44"/>
      <c r="F1360" s="58"/>
      <c r="G1360" s="32"/>
      <c r="H1360" s="58"/>
      <c r="I1360" s="58"/>
      <c r="J1360" s="59"/>
      <c r="K1360" s="58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  <c r="DJ1360"/>
      <c r="DK1360"/>
      <c r="DL1360"/>
      <c r="DM1360"/>
      <c r="DN1360"/>
      <c r="DO1360"/>
      <c r="DP1360"/>
      <c r="DQ1360"/>
      <c r="DR1360"/>
      <c r="DS1360"/>
      <c r="DT1360"/>
      <c r="DU1360"/>
      <c r="DV1360"/>
      <c r="DW1360"/>
      <c r="DX1360"/>
      <c r="DY1360"/>
      <c r="DZ1360"/>
      <c r="EA1360"/>
      <c r="EB1360"/>
      <c r="EC1360"/>
      <c r="ED1360"/>
      <c r="EE1360"/>
      <c r="EF1360"/>
      <c r="EG1360"/>
      <c r="EH1360"/>
      <c r="EI1360"/>
      <c r="EJ1360"/>
      <c r="EK1360"/>
      <c r="EL1360"/>
      <c r="EM1360"/>
      <c r="EN1360"/>
      <c r="EO1360"/>
      <c r="EP1360"/>
      <c r="EQ1360"/>
      <c r="ER1360"/>
      <c r="ES1360"/>
      <c r="ET1360"/>
      <c r="EU1360"/>
      <c r="EV1360"/>
      <c r="EW1360"/>
      <c r="EX1360"/>
      <c r="EY1360"/>
      <c r="EZ1360"/>
      <c r="FA1360"/>
      <c r="FB1360"/>
      <c r="FC1360"/>
      <c r="FD1360"/>
      <c r="FE1360"/>
      <c r="FF1360"/>
      <c r="FG1360"/>
      <c r="FH1360"/>
      <c r="FI1360"/>
      <c r="FJ1360"/>
    </row>
    <row r="1361" spans="1:166" s="4" customFormat="1" x14ac:dyDescent="0.2">
      <c r="A1361" s="44"/>
      <c r="B1361" s="44"/>
      <c r="C1361" s="44"/>
      <c r="D1361" s="44"/>
      <c r="E1361" s="44"/>
      <c r="F1361" s="58"/>
      <c r="G1361" s="32"/>
      <c r="H1361" s="58"/>
      <c r="I1361" s="58"/>
      <c r="J1361" s="59"/>
      <c r="K1361" s="58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  <c r="DJ1361"/>
      <c r="DK1361"/>
      <c r="DL1361"/>
      <c r="DM1361"/>
      <c r="DN1361"/>
      <c r="DO1361"/>
      <c r="DP1361"/>
      <c r="DQ1361"/>
      <c r="DR1361"/>
      <c r="DS1361"/>
      <c r="DT1361"/>
      <c r="DU1361"/>
      <c r="DV1361"/>
      <c r="DW1361"/>
      <c r="DX1361"/>
      <c r="DY1361"/>
      <c r="DZ1361"/>
      <c r="EA1361"/>
      <c r="EB1361"/>
      <c r="EC1361"/>
      <c r="ED1361"/>
      <c r="EE1361"/>
      <c r="EF1361"/>
      <c r="EG1361"/>
      <c r="EH1361"/>
      <c r="EI1361"/>
      <c r="EJ1361"/>
      <c r="EK1361"/>
      <c r="EL1361"/>
      <c r="EM1361"/>
      <c r="EN1361"/>
      <c r="EO1361"/>
      <c r="EP1361"/>
      <c r="EQ1361"/>
      <c r="ER1361"/>
      <c r="ES1361"/>
      <c r="ET1361"/>
      <c r="EU1361"/>
      <c r="EV1361"/>
      <c r="EW1361"/>
      <c r="EX1361"/>
      <c r="EY1361"/>
      <c r="EZ1361"/>
      <c r="FA1361"/>
      <c r="FB1361"/>
      <c r="FC1361"/>
      <c r="FD1361"/>
      <c r="FE1361"/>
      <c r="FF1361"/>
      <c r="FG1361"/>
      <c r="FH1361"/>
      <c r="FI1361"/>
      <c r="FJ1361"/>
    </row>
    <row r="1362" spans="1:166" s="4" customFormat="1" x14ac:dyDescent="0.2">
      <c r="A1362" s="44"/>
      <c r="B1362" s="44"/>
      <c r="C1362" s="44"/>
      <c r="D1362" s="44"/>
      <c r="E1362" s="44"/>
      <c r="F1362" s="58"/>
      <c r="G1362" s="32"/>
      <c r="H1362" s="58"/>
      <c r="I1362" s="58"/>
      <c r="J1362" s="59"/>
      <c r="K1362" s="58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  <c r="DJ1362"/>
      <c r="DK1362"/>
      <c r="DL1362"/>
      <c r="DM1362"/>
      <c r="DN1362"/>
      <c r="DO1362"/>
      <c r="DP1362"/>
      <c r="DQ1362"/>
      <c r="DR1362"/>
      <c r="DS1362"/>
      <c r="DT1362"/>
      <c r="DU1362"/>
      <c r="DV1362"/>
      <c r="DW1362"/>
      <c r="DX1362"/>
      <c r="DY1362"/>
      <c r="DZ1362"/>
      <c r="EA1362"/>
      <c r="EB1362"/>
      <c r="EC1362"/>
      <c r="ED1362"/>
      <c r="EE1362"/>
      <c r="EF1362"/>
      <c r="EG1362"/>
      <c r="EH1362"/>
      <c r="EI1362"/>
      <c r="EJ1362"/>
      <c r="EK1362"/>
      <c r="EL1362"/>
      <c r="EM1362"/>
      <c r="EN1362"/>
      <c r="EO1362"/>
      <c r="EP1362"/>
      <c r="EQ1362"/>
      <c r="ER1362"/>
      <c r="ES1362"/>
      <c r="ET1362"/>
      <c r="EU1362"/>
      <c r="EV1362"/>
      <c r="EW1362"/>
      <c r="EX1362"/>
      <c r="EY1362"/>
      <c r="EZ1362"/>
      <c r="FA1362"/>
      <c r="FB1362"/>
      <c r="FC1362"/>
      <c r="FD1362"/>
      <c r="FE1362"/>
      <c r="FF1362"/>
      <c r="FG1362"/>
      <c r="FH1362"/>
      <c r="FI1362"/>
      <c r="FJ1362"/>
    </row>
    <row r="1363" spans="1:166" s="4" customFormat="1" x14ac:dyDescent="0.2">
      <c r="A1363" s="44"/>
      <c r="B1363" s="44"/>
      <c r="C1363" s="44"/>
      <c r="D1363" s="44"/>
      <c r="E1363" s="44"/>
      <c r="F1363" s="58"/>
      <c r="G1363" s="32"/>
      <c r="H1363" s="58"/>
      <c r="I1363" s="58"/>
      <c r="J1363" s="59"/>
      <c r="K1363" s="58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  <c r="DJ1363"/>
      <c r="DK1363"/>
      <c r="DL1363"/>
      <c r="DM1363"/>
      <c r="DN1363"/>
      <c r="DO1363"/>
      <c r="DP1363"/>
      <c r="DQ1363"/>
      <c r="DR1363"/>
      <c r="DS1363"/>
      <c r="DT1363"/>
      <c r="DU1363"/>
      <c r="DV1363"/>
      <c r="DW1363"/>
      <c r="DX1363"/>
      <c r="DY1363"/>
      <c r="DZ1363"/>
      <c r="EA1363"/>
      <c r="EB1363"/>
      <c r="EC1363"/>
      <c r="ED1363"/>
      <c r="EE1363"/>
      <c r="EF1363"/>
      <c r="EG1363"/>
      <c r="EH1363"/>
      <c r="EI1363"/>
      <c r="EJ1363"/>
      <c r="EK1363"/>
      <c r="EL1363"/>
      <c r="EM1363"/>
      <c r="EN1363"/>
      <c r="EO1363"/>
      <c r="EP1363"/>
      <c r="EQ1363"/>
      <c r="ER1363"/>
      <c r="ES1363"/>
      <c r="ET1363"/>
      <c r="EU1363"/>
      <c r="EV1363"/>
      <c r="EW1363"/>
      <c r="EX1363"/>
      <c r="EY1363"/>
      <c r="EZ1363"/>
      <c r="FA1363"/>
      <c r="FB1363"/>
      <c r="FC1363"/>
      <c r="FD1363"/>
      <c r="FE1363"/>
      <c r="FF1363"/>
      <c r="FG1363"/>
      <c r="FH1363"/>
      <c r="FI1363"/>
      <c r="FJ1363"/>
    </row>
    <row r="1364" spans="1:166" s="4" customFormat="1" x14ac:dyDescent="0.2">
      <c r="A1364" s="44"/>
      <c r="B1364" s="44"/>
      <c r="C1364" s="44"/>
      <c r="D1364" s="44"/>
      <c r="E1364" s="44"/>
      <c r="F1364" s="58"/>
      <c r="G1364" s="32"/>
      <c r="H1364" s="58"/>
      <c r="I1364" s="58"/>
      <c r="J1364" s="59"/>
      <c r="K1364" s="58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  <c r="DJ1364"/>
      <c r="DK1364"/>
      <c r="DL1364"/>
      <c r="DM1364"/>
      <c r="DN1364"/>
      <c r="DO1364"/>
      <c r="DP1364"/>
      <c r="DQ1364"/>
      <c r="DR1364"/>
      <c r="DS1364"/>
      <c r="DT1364"/>
      <c r="DU1364"/>
      <c r="DV1364"/>
      <c r="DW1364"/>
      <c r="DX1364"/>
      <c r="DY1364"/>
      <c r="DZ1364"/>
      <c r="EA1364"/>
      <c r="EB1364"/>
      <c r="EC1364"/>
      <c r="ED1364"/>
      <c r="EE1364"/>
      <c r="EF1364"/>
      <c r="EG1364"/>
      <c r="EH1364"/>
      <c r="EI1364"/>
      <c r="EJ1364"/>
      <c r="EK1364"/>
      <c r="EL1364"/>
      <c r="EM1364"/>
      <c r="EN1364"/>
      <c r="EO1364"/>
      <c r="EP1364"/>
      <c r="EQ1364"/>
      <c r="ER1364"/>
      <c r="ES1364"/>
      <c r="ET1364"/>
      <c r="EU1364"/>
      <c r="EV1364"/>
      <c r="EW1364"/>
      <c r="EX1364"/>
      <c r="EY1364"/>
      <c r="EZ1364"/>
      <c r="FA1364"/>
      <c r="FB1364"/>
      <c r="FC1364"/>
      <c r="FD1364"/>
      <c r="FE1364"/>
      <c r="FF1364"/>
      <c r="FG1364"/>
      <c r="FH1364"/>
      <c r="FI1364"/>
      <c r="FJ1364"/>
    </row>
    <row r="1365" spans="1:166" s="4" customFormat="1" x14ac:dyDescent="0.2">
      <c r="A1365" s="44"/>
      <c r="B1365" s="44"/>
      <c r="C1365" s="44"/>
      <c r="D1365" s="44"/>
      <c r="E1365" s="44"/>
      <c r="F1365" s="58"/>
      <c r="G1365" s="32"/>
      <c r="H1365" s="58"/>
      <c r="I1365" s="58"/>
      <c r="J1365" s="59"/>
      <c r="K1365" s="58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  <c r="DJ1365"/>
      <c r="DK1365"/>
      <c r="DL1365"/>
      <c r="DM1365"/>
      <c r="DN1365"/>
      <c r="DO1365"/>
      <c r="DP1365"/>
      <c r="DQ1365"/>
      <c r="DR1365"/>
      <c r="DS1365"/>
      <c r="DT1365"/>
      <c r="DU1365"/>
      <c r="DV1365"/>
      <c r="DW1365"/>
      <c r="DX1365"/>
      <c r="DY1365"/>
      <c r="DZ1365"/>
      <c r="EA1365"/>
      <c r="EB1365"/>
      <c r="EC1365"/>
      <c r="ED1365"/>
      <c r="EE1365"/>
      <c r="EF1365"/>
      <c r="EG1365"/>
      <c r="EH1365"/>
      <c r="EI1365"/>
      <c r="EJ1365"/>
      <c r="EK1365"/>
      <c r="EL1365"/>
      <c r="EM1365"/>
      <c r="EN1365"/>
      <c r="EO1365"/>
      <c r="EP1365"/>
      <c r="EQ1365"/>
      <c r="ER1365"/>
      <c r="ES1365"/>
      <c r="ET1365"/>
      <c r="EU1365"/>
      <c r="EV1365"/>
      <c r="EW1365"/>
      <c r="EX1365"/>
      <c r="EY1365"/>
      <c r="EZ1365"/>
      <c r="FA1365"/>
      <c r="FB1365"/>
      <c r="FC1365"/>
      <c r="FD1365"/>
      <c r="FE1365"/>
      <c r="FF1365"/>
      <c r="FG1365"/>
      <c r="FH1365"/>
      <c r="FI1365"/>
      <c r="FJ1365"/>
    </row>
    <row r="1366" spans="1:166" s="4" customFormat="1" x14ac:dyDescent="0.2">
      <c r="A1366" s="44"/>
      <c r="B1366" s="44"/>
      <c r="C1366" s="44"/>
      <c r="D1366" s="44"/>
      <c r="E1366" s="44"/>
      <c r="F1366" s="58"/>
      <c r="G1366" s="32"/>
      <c r="H1366" s="58"/>
      <c r="I1366" s="58"/>
      <c r="J1366" s="59"/>
      <c r="K1366" s="58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  <c r="DI1366"/>
      <c r="DJ1366"/>
      <c r="DK1366"/>
      <c r="DL1366"/>
      <c r="DM1366"/>
      <c r="DN1366"/>
      <c r="DO1366"/>
      <c r="DP1366"/>
      <c r="DQ1366"/>
      <c r="DR1366"/>
      <c r="DS1366"/>
      <c r="DT1366"/>
      <c r="DU1366"/>
      <c r="DV1366"/>
      <c r="DW1366"/>
      <c r="DX1366"/>
      <c r="DY1366"/>
      <c r="DZ1366"/>
      <c r="EA1366"/>
      <c r="EB1366"/>
      <c r="EC1366"/>
      <c r="ED1366"/>
      <c r="EE1366"/>
      <c r="EF1366"/>
      <c r="EG1366"/>
      <c r="EH1366"/>
      <c r="EI1366"/>
      <c r="EJ1366"/>
      <c r="EK1366"/>
      <c r="EL1366"/>
      <c r="EM1366"/>
      <c r="EN1366"/>
      <c r="EO1366"/>
      <c r="EP1366"/>
      <c r="EQ1366"/>
      <c r="ER1366"/>
      <c r="ES1366"/>
      <c r="ET1366"/>
      <c r="EU1366"/>
      <c r="EV1366"/>
      <c r="EW1366"/>
      <c r="EX1366"/>
      <c r="EY1366"/>
      <c r="EZ1366"/>
      <c r="FA1366"/>
      <c r="FB1366"/>
      <c r="FC1366"/>
      <c r="FD1366"/>
      <c r="FE1366"/>
      <c r="FF1366"/>
      <c r="FG1366"/>
      <c r="FH1366"/>
      <c r="FI1366"/>
      <c r="FJ1366"/>
    </row>
    <row r="1367" spans="1:166" s="4" customFormat="1" x14ac:dyDescent="0.2">
      <c r="A1367" s="44"/>
      <c r="B1367" s="44"/>
      <c r="C1367" s="44"/>
      <c r="D1367" s="44"/>
      <c r="E1367" s="44"/>
      <c r="F1367" s="58"/>
      <c r="G1367" s="32"/>
      <c r="H1367" s="58"/>
      <c r="I1367" s="58"/>
      <c r="J1367" s="59"/>
      <c r="K1367" s="58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  <c r="DI1367"/>
      <c r="DJ1367"/>
      <c r="DK1367"/>
      <c r="DL1367"/>
      <c r="DM1367"/>
      <c r="DN1367"/>
      <c r="DO1367"/>
      <c r="DP1367"/>
      <c r="DQ1367"/>
      <c r="DR1367"/>
      <c r="DS1367"/>
      <c r="DT1367"/>
      <c r="DU1367"/>
      <c r="DV1367"/>
      <c r="DW1367"/>
      <c r="DX1367"/>
      <c r="DY1367"/>
      <c r="DZ1367"/>
      <c r="EA1367"/>
      <c r="EB1367"/>
      <c r="EC1367"/>
      <c r="ED1367"/>
      <c r="EE1367"/>
      <c r="EF1367"/>
      <c r="EG1367"/>
      <c r="EH1367"/>
      <c r="EI1367"/>
      <c r="EJ1367"/>
      <c r="EK1367"/>
      <c r="EL1367"/>
      <c r="EM1367"/>
      <c r="EN1367"/>
      <c r="EO1367"/>
      <c r="EP1367"/>
      <c r="EQ1367"/>
      <c r="ER1367"/>
      <c r="ES1367"/>
      <c r="ET1367"/>
      <c r="EU1367"/>
      <c r="EV1367"/>
      <c r="EW1367"/>
      <c r="EX1367"/>
      <c r="EY1367"/>
      <c r="EZ1367"/>
      <c r="FA1367"/>
      <c r="FB1367"/>
      <c r="FC1367"/>
      <c r="FD1367"/>
      <c r="FE1367"/>
      <c r="FF1367"/>
      <c r="FG1367"/>
      <c r="FH1367"/>
      <c r="FI1367"/>
      <c r="FJ1367"/>
    </row>
    <row r="1368" spans="1:166" s="4" customFormat="1" x14ac:dyDescent="0.2">
      <c r="A1368" s="44"/>
      <c r="B1368" s="44"/>
      <c r="C1368" s="44"/>
      <c r="D1368" s="44"/>
      <c r="E1368" s="44"/>
      <c r="F1368" s="58"/>
      <c r="G1368" s="32"/>
      <c r="H1368" s="58"/>
      <c r="I1368" s="58"/>
      <c r="J1368" s="59"/>
      <c r="K1368" s="5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  <c r="DI1368"/>
      <c r="DJ1368"/>
      <c r="DK1368"/>
      <c r="DL1368"/>
      <c r="DM1368"/>
      <c r="DN1368"/>
      <c r="DO1368"/>
      <c r="DP1368"/>
      <c r="DQ1368"/>
      <c r="DR1368"/>
      <c r="DS1368"/>
      <c r="DT1368"/>
      <c r="DU1368"/>
      <c r="DV1368"/>
      <c r="DW1368"/>
      <c r="DX1368"/>
      <c r="DY1368"/>
      <c r="DZ1368"/>
      <c r="EA1368"/>
      <c r="EB1368"/>
      <c r="EC1368"/>
      <c r="ED1368"/>
      <c r="EE1368"/>
      <c r="EF1368"/>
      <c r="EG1368"/>
      <c r="EH1368"/>
      <c r="EI1368"/>
      <c r="EJ1368"/>
      <c r="EK1368"/>
      <c r="EL1368"/>
      <c r="EM1368"/>
      <c r="EN1368"/>
      <c r="EO1368"/>
      <c r="EP1368"/>
      <c r="EQ1368"/>
      <c r="ER1368"/>
      <c r="ES1368"/>
      <c r="ET1368"/>
      <c r="EU1368"/>
      <c r="EV1368"/>
      <c r="EW1368"/>
      <c r="EX1368"/>
      <c r="EY1368"/>
      <c r="EZ1368"/>
      <c r="FA1368"/>
      <c r="FB1368"/>
      <c r="FC1368"/>
      <c r="FD1368"/>
      <c r="FE1368"/>
      <c r="FF1368"/>
      <c r="FG1368"/>
      <c r="FH1368"/>
      <c r="FI1368"/>
      <c r="FJ1368"/>
    </row>
    <row r="1369" spans="1:166" s="4" customFormat="1" x14ac:dyDescent="0.2">
      <c r="A1369" s="44"/>
      <c r="B1369" s="44"/>
      <c r="C1369" s="44"/>
      <c r="D1369" s="44"/>
      <c r="E1369" s="44"/>
      <c r="F1369" s="58"/>
      <c r="G1369" s="32"/>
      <c r="H1369" s="58"/>
      <c r="I1369" s="58"/>
      <c r="J1369" s="59"/>
      <c r="K1369" s="58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  <c r="DI1369"/>
      <c r="DJ1369"/>
      <c r="DK1369"/>
      <c r="DL1369"/>
      <c r="DM1369"/>
      <c r="DN1369"/>
      <c r="DO1369"/>
      <c r="DP1369"/>
      <c r="DQ1369"/>
      <c r="DR1369"/>
      <c r="DS1369"/>
      <c r="DT1369"/>
      <c r="DU1369"/>
      <c r="DV1369"/>
      <c r="DW1369"/>
      <c r="DX1369"/>
      <c r="DY1369"/>
      <c r="DZ1369"/>
      <c r="EA1369"/>
      <c r="EB1369"/>
      <c r="EC1369"/>
      <c r="ED1369"/>
      <c r="EE1369"/>
      <c r="EF1369"/>
      <c r="EG1369"/>
      <c r="EH1369"/>
      <c r="EI1369"/>
      <c r="EJ1369"/>
      <c r="EK1369"/>
      <c r="EL1369"/>
      <c r="EM1369"/>
      <c r="EN1369"/>
      <c r="EO1369"/>
      <c r="EP1369"/>
      <c r="EQ1369"/>
      <c r="ER1369"/>
      <c r="ES1369"/>
      <c r="ET1369"/>
      <c r="EU1369"/>
      <c r="EV1369"/>
      <c r="EW1369"/>
      <c r="EX1369"/>
      <c r="EY1369"/>
      <c r="EZ1369"/>
      <c r="FA1369"/>
      <c r="FB1369"/>
      <c r="FC1369"/>
      <c r="FD1369"/>
      <c r="FE1369"/>
      <c r="FF1369"/>
      <c r="FG1369"/>
      <c r="FH1369"/>
      <c r="FI1369"/>
      <c r="FJ1369"/>
    </row>
    <row r="1370" spans="1:166" s="4" customFormat="1" x14ac:dyDescent="0.2">
      <c r="A1370" s="44"/>
      <c r="B1370" s="44"/>
      <c r="C1370" s="44"/>
      <c r="D1370" s="44"/>
      <c r="E1370" s="44"/>
      <c r="F1370" s="58"/>
      <c r="G1370" s="32"/>
      <c r="H1370" s="58"/>
      <c r="I1370" s="58"/>
      <c r="J1370" s="59"/>
      <c r="K1370" s="58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  <c r="DI1370"/>
      <c r="DJ1370"/>
      <c r="DK1370"/>
      <c r="DL1370"/>
      <c r="DM1370"/>
      <c r="DN1370"/>
      <c r="DO1370"/>
      <c r="DP1370"/>
      <c r="DQ1370"/>
      <c r="DR1370"/>
      <c r="DS1370"/>
      <c r="DT1370"/>
      <c r="DU1370"/>
      <c r="DV1370"/>
      <c r="DW1370"/>
      <c r="DX1370"/>
      <c r="DY1370"/>
      <c r="DZ1370"/>
      <c r="EA1370"/>
      <c r="EB1370"/>
      <c r="EC1370"/>
      <c r="ED1370"/>
      <c r="EE1370"/>
      <c r="EF1370"/>
      <c r="EG1370"/>
      <c r="EH1370"/>
      <c r="EI1370"/>
      <c r="EJ1370"/>
      <c r="EK1370"/>
      <c r="EL1370"/>
      <c r="EM1370"/>
      <c r="EN1370"/>
      <c r="EO1370"/>
      <c r="EP1370"/>
      <c r="EQ1370"/>
      <c r="ER1370"/>
      <c r="ES1370"/>
      <c r="ET1370"/>
      <c r="EU1370"/>
      <c r="EV1370"/>
      <c r="EW1370"/>
      <c r="EX1370"/>
      <c r="EY1370"/>
      <c r="EZ1370"/>
      <c r="FA1370"/>
      <c r="FB1370"/>
      <c r="FC1370"/>
      <c r="FD1370"/>
      <c r="FE1370"/>
      <c r="FF1370"/>
      <c r="FG1370"/>
      <c r="FH1370"/>
      <c r="FI1370"/>
      <c r="FJ1370"/>
    </row>
    <row r="1371" spans="1:166" s="4" customFormat="1" x14ac:dyDescent="0.2">
      <c r="A1371" s="44"/>
      <c r="B1371" s="44"/>
      <c r="C1371" s="44"/>
      <c r="D1371" s="44"/>
      <c r="E1371" s="44"/>
      <c r="F1371" s="58"/>
      <c r="G1371" s="32"/>
      <c r="H1371" s="58"/>
      <c r="I1371" s="58"/>
      <c r="J1371" s="59"/>
      <c r="K1371" s="58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  <c r="DI1371"/>
      <c r="DJ1371"/>
      <c r="DK1371"/>
      <c r="DL1371"/>
      <c r="DM1371"/>
      <c r="DN1371"/>
      <c r="DO1371"/>
      <c r="DP1371"/>
      <c r="DQ1371"/>
      <c r="DR1371"/>
      <c r="DS1371"/>
      <c r="DT1371"/>
      <c r="DU1371"/>
      <c r="DV1371"/>
      <c r="DW1371"/>
      <c r="DX1371"/>
      <c r="DY1371"/>
      <c r="DZ1371"/>
      <c r="EA1371"/>
      <c r="EB1371"/>
      <c r="EC1371"/>
      <c r="ED1371"/>
      <c r="EE1371"/>
      <c r="EF1371"/>
      <c r="EG1371"/>
      <c r="EH1371"/>
      <c r="EI1371"/>
      <c r="EJ1371"/>
      <c r="EK1371"/>
      <c r="EL1371"/>
      <c r="EM1371"/>
      <c r="EN1371"/>
      <c r="EO1371"/>
      <c r="EP1371"/>
      <c r="EQ1371"/>
      <c r="ER1371"/>
      <c r="ES1371"/>
      <c r="ET1371"/>
      <c r="EU1371"/>
      <c r="EV1371"/>
      <c r="EW1371"/>
      <c r="EX1371"/>
      <c r="EY1371"/>
      <c r="EZ1371"/>
      <c r="FA1371"/>
      <c r="FB1371"/>
      <c r="FC1371"/>
      <c r="FD1371"/>
      <c r="FE1371"/>
      <c r="FF1371"/>
      <c r="FG1371"/>
      <c r="FH1371"/>
      <c r="FI1371"/>
      <c r="FJ1371"/>
    </row>
    <row r="1372" spans="1:166" s="4" customFormat="1" x14ac:dyDescent="0.2">
      <c r="A1372" s="44"/>
      <c r="B1372" s="44"/>
      <c r="C1372" s="44"/>
      <c r="D1372" s="44"/>
      <c r="E1372" s="44"/>
      <c r="F1372" s="58"/>
      <c r="G1372" s="32"/>
      <c r="H1372" s="58"/>
      <c r="I1372" s="58"/>
      <c r="J1372" s="59"/>
      <c r="K1372" s="58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  <c r="DI1372"/>
      <c r="DJ1372"/>
      <c r="DK1372"/>
      <c r="DL1372"/>
      <c r="DM1372"/>
      <c r="DN1372"/>
      <c r="DO1372"/>
      <c r="DP1372"/>
      <c r="DQ1372"/>
      <c r="DR1372"/>
      <c r="DS1372"/>
      <c r="DT1372"/>
      <c r="DU1372"/>
      <c r="DV1372"/>
      <c r="DW1372"/>
      <c r="DX1372"/>
      <c r="DY1372"/>
      <c r="DZ1372"/>
      <c r="EA1372"/>
      <c r="EB1372"/>
      <c r="EC1372"/>
      <c r="ED1372"/>
      <c r="EE1372"/>
      <c r="EF1372"/>
      <c r="EG1372"/>
      <c r="EH1372"/>
      <c r="EI1372"/>
      <c r="EJ1372"/>
      <c r="EK1372"/>
      <c r="EL1372"/>
      <c r="EM1372"/>
      <c r="EN1372"/>
      <c r="EO1372"/>
      <c r="EP1372"/>
      <c r="EQ1372"/>
      <c r="ER1372"/>
      <c r="ES1372"/>
      <c r="ET1372"/>
      <c r="EU1372"/>
      <c r="EV1372"/>
      <c r="EW1372"/>
      <c r="EX1372"/>
      <c r="EY1372"/>
      <c r="EZ1372"/>
      <c r="FA1372"/>
      <c r="FB1372"/>
      <c r="FC1372"/>
      <c r="FD1372"/>
      <c r="FE1372"/>
      <c r="FF1372"/>
      <c r="FG1372"/>
      <c r="FH1372"/>
      <c r="FI1372"/>
      <c r="FJ1372"/>
    </row>
    <row r="1373" spans="1:166" s="4" customFormat="1" x14ac:dyDescent="0.2">
      <c r="A1373" s="44"/>
      <c r="B1373" s="44"/>
      <c r="C1373" s="44"/>
      <c r="D1373" s="44"/>
      <c r="E1373" s="44"/>
      <c r="F1373" s="58"/>
      <c r="G1373" s="32"/>
      <c r="H1373" s="58"/>
      <c r="I1373" s="58"/>
      <c r="J1373" s="59"/>
      <c r="K1373" s="58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  <c r="DI1373"/>
      <c r="DJ1373"/>
      <c r="DK1373"/>
      <c r="DL1373"/>
      <c r="DM1373"/>
      <c r="DN1373"/>
      <c r="DO1373"/>
      <c r="DP1373"/>
      <c r="DQ1373"/>
      <c r="DR1373"/>
      <c r="DS1373"/>
      <c r="DT1373"/>
      <c r="DU1373"/>
      <c r="DV1373"/>
      <c r="DW1373"/>
      <c r="DX1373"/>
      <c r="DY1373"/>
      <c r="DZ1373"/>
      <c r="EA1373"/>
      <c r="EB1373"/>
      <c r="EC1373"/>
      <c r="ED1373"/>
      <c r="EE1373"/>
      <c r="EF1373"/>
      <c r="EG1373"/>
      <c r="EH1373"/>
      <c r="EI1373"/>
      <c r="EJ1373"/>
      <c r="EK1373"/>
      <c r="EL1373"/>
      <c r="EM1373"/>
      <c r="EN1373"/>
      <c r="EO1373"/>
      <c r="EP1373"/>
      <c r="EQ1373"/>
      <c r="ER1373"/>
      <c r="ES1373"/>
      <c r="ET1373"/>
      <c r="EU1373"/>
      <c r="EV1373"/>
      <c r="EW1373"/>
      <c r="EX1373"/>
      <c r="EY1373"/>
      <c r="EZ1373"/>
      <c r="FA1373"/>
      <c r="FB1373"/>
      <c r="FC1373"/>
      <c r="FD1373"/>
      <c r="FE1373"/>
      <c r="FF1373"/>
      <c r="FG1373"/>
      <c r="FH1373"/>
      <c r="FI1373"/>
      <c r="FJ1373"/>
    </row>
    <row r="1374" spans="1:166" s="4" customFormat="1" x14ac:dyDescent="0.2">
      <c r="A1374" s="44"/>
      <c r="B1374" s="44"/>
      <c r="C1374" s="44"/>
      <c r="D1374" s="44"/>
      <c r="E1374" s="44"/>
      <c r="F1374" s="58"/>
      <c r="G1374" s="32"/>
      <c r="H1374" s="58"/>
      <c r="I1374" s="58"/>
      <c r="J1374" s="59"/>
      <c r="K1374" s="58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  <c r="DI1374"/>
      <c r="DJ1374"/>
      <c r="DK1374"/>
      <c r="DL1374"/>
      <c r="DM1374"/>
      <c r="DN1374"/>
      <c r="DO1374"/>
      <c r="DP1374"/>
      <c r="DQ1374"/>
      <c r="DR1374"/>
      <c r="DS1374"/>
      <c r="DT1374"/>
      <c r="DU1374"/>
      <c r="DV1374"/>
      <c r="DW1374"/>
      <c r="DX1374"/>
      <c r="DY1374"/>
      <c r="DZ1374"/>
      <c r="EA1374"/>
      <c r="EB1374"/>
      <c r="EC1374"/>
      <c r="ED1374"/>
      <c r="EE1374"/>
      <c r="EF1374"/>
      <c r="EG1374"/>
      <c r="EH1374"/>
      <c r="EI1374"/>
      <c r="EJ1374"/>
      <c r="EK1374"/>
      <c r="EL1374"/>
      <c r="EM1374"/>
      <c r="EN1374"/>
      <c r="EO1374"/>
      <c r="EP1374"/>
      <c r="EQ1374"/>
      <c r="ER1374"/>
      <c r="ES1374"/>
      <c r="ET1374"/>
      <c r="EU1374"/>
      <c r="EV1374"/>
      <c r="EW1374"/>
      <c r="EX1374"/>
      <c r="EY1374"/>
      <c r="EZ1374"/>
      <c r="FA1374"/>
      <c r="FB1374"/>
      <c r="FC1374"/>
      <c r="FD1374"/>
      <c r="FE1374"/>
      <c r="FF1374"/>
      <c r="FG1374"/>
      <c r="FH1374"/>
      <c r="FI1374"/>
      <c r="FJ1374"/>
    </row>
    <row r="1375" spans="1:166" s="4" customFormat="1" x14ac:dyDescent="0.2">
      <c r="A1375" s="44"/>
      <c r="B1375" s="44"/>
      <c r="C1375" s="44"/>
      <c r="D1375" s="44"/>
      <c r="E1375" s="44"/>
      <c r="F1375" s="58"/>
      <c r="G1375" s="32"/>
      <c r="H1375" s="58"/>
      <c r="I1375" s="58"/>
      <c r="J1375" s="59"/>
      <c r="K1375" s="58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  <c r="DI1375"/>
      <c r="DJ1375"/>
      <c r="DK1375"/>
      <c r="DL1375"/>
      <c r="DM1375"/>
      <c r="DN1375"/>
      <c r="DO1375"/>
      <c r="DP1375"/>
      <c r="DQ1375"/>
      <c r="DR1375"/>
      <c r="DS1375"/>
      <c r="DT1375"/>
      <c r="DU1375"/>
      <c r="DV1375"/>
      <c r="DW1375"/>
      <c r="DX1375"/>
      <c r="DY1375"/>
      <c r="DZ1375"/>
      <c r="EA1375"/>
      <c r="EB1375"/>
      <c r="EC1375"/>
      <c r="ED1375"/>
      <c r="EE1375"/>
      <c r="EF1375"/>
      <c r="EG1375"/>
      <c r="EH1375"/>
      <c r="EI1375"/>
      <c r="EJ1375"/>
      <c r="EK1375"/>
      <c r="EL1375"/>
      <c r="EM1375"/>
      <c r="EN1375"/>
      <c r="EO1375"/>
      <c r="EP1375"/>
      <c r="EQ1375"/>
      <c r="ER1375"/>
      <c r="ES1375"/>
      <c r="ET1375"/>
      <c r="EU1375"/>
      <c r="EV1375"/>
      <c r="EW1375"/>
      <c r="EX1375"/>
      <c r="EY1375"/>
      <c r="EZ1375"/>
      <c r="FA1375"/>
      <c r="FB1375"/>
      <c r="FC1375"/>
      <c r="FD1375"/>
      <c r="FE1375"/>
      <c r="FF1375"/>
      <c r="FG1375"/>
      <c r="FH1375"/>
      <c r="FI1375"/>
      <c r="FJ1375"/>
    </row>
    <row r="1376" spans="1:166" s="4" customFormat="1" x14ac:dyDescent="0.2">
      <c r="A1376" s="44"/>
      <c r="B1376" s="44"/>
      <c r="C1376" s="44"/>
      <c r="D1376" s="44"/>
      <c r="E1376" s="44"/>
      <c r="F1376" s="58"/>
      <c r="G1376" s="32"/>
      <c r="H1376" s="58"/>
      <c r="I1376" s="58"/>
      <c r="J1376" s="59"/>
      <c r="K1376" s="58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  <c r="DI1376"/>
      <c r="DJ1376"/>
      <c r="DK1376"/>
      <c r="DL1376"/>
      <c r="DM1376"/>
      <c r="DN1376"/>
      <c r="DO1376"/>
      <c r="DP1376"/>
      <c r="DQ1376"/>
      <c r="DR1376"/>
      <c r="DS1376"/>
      <c r="DT1376"/>
      <c r="DU1376"/>
      <c r="DV1376"/>
      <c r="DW1376"/>
      <c r="DX1376"/>
      <c r="DY1376"/>
      <c r="DZ1376"/>
      <c r="EA1376"/>
      <c r="EB1376"/>
      <c r="EC1376"/>
      <c r="ED1376"/>
      <c r="EE1376"/>
      <c r="EF1376"/>
      <c r="EG1376"/>
      <c r="EH1376"/>
      <c r="EI1376"/>
      <c r="EJ1376"/>
      <c r="EK1376"/>
      <c r="EL1376"/>
      <c r="EM1376"/>
      <c r="EN1376"/>
      <c r="EO1376"/>
      <c r="EP1376"/>
      <c r="EQ1376"/>
      <c r="ER1376"/>
      <c r="ES1376"/>
      <c r="ET1376"/>
      <c r="EU1376"/>
      <c r="EV1376"/>
      <c r="EW1376"/>
      <c r="EX1376"/>
      <c r="EY1376"/>
      <c r="EZ1376"/>
      <c r="FA1376"/>
      <c r="FB1376"/>
      <c r="FC1376"/>
      <c r="FD1376"/>
      <c r="FE1376"/>
      <c r="FF1376"/>
      <c r="FG1376"/>
      <c r="FH1376"/>
      <c r="FI1376"/>
      <c r="FJ1376"/>
    </row>
    <row r="1377" spans="1:166" s="4" customFormat="1" x14ac:dyDescent="0.2">
      <c r="A1377" s="44"/>
      <c r="B1377" s="44"/>
      <c r="C1377" s="44"/>
      <c r="D1377" s="44"/>
      <c r="E1377" s="44"/>
      <c r="F1377" s="58"/>
      <c r="G1377" s="32"/>
      <c r="H1377" s="58"/>
      <c r="I1377" s="58"/>
      <c r="J1377" s="59"/>
      <c r="K1377" s="58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  <c r="DI1377"/>
      <c r="DJ1377"/>
      <c r="DK1377"/>
      <c r="DL1377"/>
      <c r="DM1377"/>
      <c r="DN1377"/>
      <c r="DO1377"/>
      <c r="DP1377"/>
      <c r="DQ1377"/>
      <c r="DR1377"/>
      <c r="DS1377"/>
      <c r="DT1377"/>
      <c r="DU1377"/>
      <c r="DV1377"/>
      <c r="DW1377"/>
      <c r="DX1377"/>
      <c r="DY1377"/>
      <c r="DZ1377"/>
      <c r="EA1377"/>
      <c r="EB1377"/>
      <c r="EC1377"/>
      <c r="ED1377"/>
      <c r="EE1377"/>
      <c r="EF1377"/>
      <c r="EG1377"/>
      <c r="EH1377"/>
      <c r="EI1377"/>
      <c r="EJ1377"/>
      <c r="EK1377"/>
      <c r="EL1377"/>
      <c r="EM1377"/>
      <c r="EN1377"/>
      <c r="EO1377"/>
      <c r="EP1377"/>
      <c r="EQ1377"/>
      <c r="ER1377"/>
      <c r="ES1377"/>
      <c r="ET1377"/>
      <c r="EU1377"/>
      <c r="EV1377"/>
      <c r="EW1377"/>
      <c r="EX1377"/>
      <c r="EY1377"/>
      <c r="EZ1377"/>
      <c r="FA1377"/>
      <c r="FB1377"/>
      <c r="FC1377"/>
      <c r="FD1377"/>
      <c r="FE1377"/>
      <c r="FF1377"/>
      <c r="FG1377"/>
      <c r="FH1377"/>
      <c r="FI1377"/>
      <c r="FJ1377"/>
    </row>
    <row r="1378" spans="1:166" s="4" customFormat="1" x14ac:dyDescent="0.2">
      <c r="A1378" s="44"/>
      <c r="B1378" s="44"/>
      <c r="C1378" s="44"/>
      <c r="D1378" s="44"/>
      <c r="E1378" s="44"/>
      <c r="F1378" s="58"/>
      <c r="G1378" s="32"/>
      <c r="H1378" s="58"/>
      <c r="I1378" s="58"/>
      <c r="J1378" s="59"/>
      <c r="K1378" s="5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  <c r="DI1378"/>
      <c r="DJ1378"/>
      <c r="DK1378"/>
      <c r="DL1378"/>
      <c r="DM1378"/>
      <c r="DN1378"/>
      <c r="DO1378"/>
      <c r="DP1378"/>
      <c r="DQ1378"/>
      <c r="DR1378"/>
      <c r="DS1378"/>
      <c r="DT1378"/>
      <c r="DU1378"/>
      <c r="DV1378"/>
      <c r="DW1378"/>
      <c r="DX1378"/>
      <c r="DY1378"/>
      <c r="DZ1378"/>
      <c r="EA1378"/>
      <c r="EB1378"/>
      <c r="EC1378"/>
      <c r="ED1378"/>
      <c r="EE1378"/>
      <c r="EF1378"/>
      <c r="EG1378"/>
      <c r="EH1378"/>
      <c r="EI1378"/>
      <c r="EJ1378"/>
      <c r="EK1378"/>
      <c r="EL1378"/>
      <c r="EM1378"/>
      <c r="EN1378"/>
      <c r="EO1378"/>
      <c r="EP1378"/>
      <c r="EQ1378"/>
      <c r="ER1378"/>
      <c r="ES1378"/>
      <c r="ET1378"/>
      <c r="EU1378"/>
      <c r="EV1378"/>
      <c r="EW1378"/>
      <c r="EX1378"/>
      <c r="EY1378"/>
      <c r="EZ1378"/>
      <c r="FA1378"/>
      <c r="FB1378"/>
      <c r="FC1378"/>
      <c r="FD1378"/>
      <c r="FE1378"/>
      <c r="FF1378"/>
      <c r="FG1378"/>
      <c r="FH1378"/>
      <c r="FI1378"/>
      <c r="FJ1378"/>
    </row>
    <row r="1379" spans="1:166" s="4" customFormat="1" x14ac:dyDescent="0.2">
      <c r="A1379" s="44"/>
      <c r="B1379" s="44"/>
      <c r="C1379" s="44"/>
      <c r="D1379" s="44"/>
      <c r="E1379" s="44"/>
      <c r="F1379" s="58"/>
      <c r="G1379" s="32"/>
      <c r="H1379" s="58"/>
      <c r="I1379" s="58"/>
      <c r="J1379" s="59"/>
      <c r="K1379" s="58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  <c r="DI1379"/>
      <c r="DJ1379"/>
      <c r="DK1379"/>
      <c r="DL1379"/>
      <c r="DM1379"/>
      <c r="DN1379"/>
      <c r="DO1379"/>
      <c r="DP1379"/>
      <c r="DQ1379"/>
      <c r="DR1379"/>
      <c r="DS1379"/>
      <c r="DT1379"/>
      <c r="DU1379"/>
      <c r="DV1379"/>
      <c r="DW1379"/>
      <c r="DX1379"/>
      <c r="DY1379"/>
      <c r="DZ1379"/>
      <c r="EA1379"/>
      <c r="EB1379"/>
      <c r="EC1379"/>
      <c r="ED1379"/>
      <c r="EE1379"/>
      <c r="EF1379"/>
      <c r="EG1379"/>
      <c r="EH1379"/>
      <c r="EI1379"/>
      <c r="EJ1379"/>
      <c r="EK1379"/>
      <c r="EL1379"/>
      <c r="EM1379"/>
      <c r="EN1379"/>
      <c r="EO1379"/>
      <c r="EP1379"/>
      <c r="EQ1379"/>
      <c r="ER1379"/>
      <c r="ES1379"/>
      <c r="ET1379"/>
      <c r="EU1379"/>
      <c r="EV1379"/>
      <c r="EW1379"/>
      <c r="EX1379"/>
      <c r="EY1379"/>
      <c r="EZ1379"/>
      <c r="FA1379"/>
      <c r="FB1379"/>
      <c r="FC1379"/>
      <c r="FD1379"/>
      <c r="FE1379"/>
      <c r="FF1379"/>
      <c r="FG1379"/>
      <c r="FH1379"/>
      <c r="FI1379"/>
      <c r="FJ1379"/>
    </row>
    <row r="1380" spans="1:166" s="4" customFormat="1" x14ac:dyDescent="0.2">
      <c r="A1380" s="44"/>
      <c r="B1380" s="44"/>
      <c r="C1380" s="44"/>
      <c r="D1380" s="44"/>
      <c r="E1380" s="44"/>
      <c r="F1380" s="58"/>
      <c r="G1380" s="32"/>
      <c r="H1380" s="58"/>
      <c r="I1380" s="58"/>
      <c r="J1380" s="59"/>
      <c r="K1380" s="58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  <c r="DI1380"/>
      <c r="DJ1380"/>
      <c r="DK1380"/>
      <c r="DL1380"/>
      <c r="DM1380"/>
      <c r="DN1380"/>
      <c r="DO1380"/>
      <c r="DP1380"/>
      <c r="DQ1380"/>
      <c r="DR1380"/>
      <c r="DS1380"/>
      <c r="DT1380"/>
      <c r="DU1380"/>
      <c r="DV1380"/>
      <c r="DW1380"/>
      <c r="DX1380"/>
      <c r="DY1380"/>
      <c r="DZ1380"/>
      <c r="EA1380"/>
      <c r="EB1380"/>
      <c r="EC1380"/>
      <c r="ED1380"/>
      <c r="EE1380"/>
      <c r="EF1380"/>
      <c r="EG1380"/>
      <c r="EH1380"/>
      <c r="EI1380"/>
      <c r="EJ1380"/>
      <c r="EK1380"/>
      <c r="EL1380"/>
      <c r="EM1380"/>
      <c r="EN1380"/>
      <c r="EO1380"/>
      <c r="EP1380"/>
      <c r="EQ1380"/>
      <c r="ER1380"/>
      <c r="ES1380"/>
      <c r="ET1380"/>
      <c r="EU1380"/>
      <c r="EV1380"/>
      <c r="EW1380"/>
      <c r="EX1380"/>
      <c r="EY1380"/>
      <c r="EZ1380"/>
      <c r="FA1380"/>
      <c r="FB1380"/>
      <c r="FC1380"/>
      <c r="FD1380"/>
      <c r="FE1380"/>
      <c r="FF1380"/>
      <c r="FG1380"/>
      <c r="FH1380"/>
      <c r="FI1380"/>
      <c r="FJ1380"/>
    </row>
    <row r="1381" spans="1:166" s="4" customFormat="1" x14ac:dyDescent="0.2">
      <c r="A1381" s="44"/>
      <c r="B1381" s="44"/>
      <c r="C1381" s="44"/>
      <c r="D1381" s="44"/>
      <c r="E1381" s="44"/>
      <c r="F1381" s="58"/>
      <c r="G1381" s="32"/>
      <c r="H1381" s="58"/>
      <c r="I1381" s="58"/>
      <c r="J1381" s="59"/>
      <c r="K1381" s="58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  <c r="DI1381"/>
      <c r="DJ1381"/>
      <c r="DK1381"/>
      <c r="DL1381"/>
      <c r="DM1381"/>
      <c r="DN1381"/>
      <c r="DO1381"/>
      <c r="DP1381"/>
      <c r="DQ1381"/>
      <c r="DR1381"/>
      <c r="DS1381"/>
      <c r="DT1381"/>
      <c r="DU1381"/>
      <c r="DV1381"/>
      <c r="DW1381"/>
      <c r="DX1381"/>
      <c r="DY1381"/>
      <c r="DZ1381"/>
      <c r="EA1381"/>
      <c r="EB1381"/>
      <c r="EC1381"/>
      <c r="ED1381"/>
      <c r="EE1381"/>
      <c r="EF1381"/>
      <c r="EG1381"/>
      <c r="EH1381"/>
      <c r="EI1381"/>
      <c r="EJ1381"/>
      <c r="EK1381"/>
      <c r="EL1381"/>
      <c r="EM1381"/>
      <c r="EN1381"/>
      <c r="EO1381"/>
      <c r="EP1381"/>
      <c r="EQ1381"/>
      <c r="ER1381"/>
      <c r="ES1381"/>
      <c r="ET1381"/>
      <c r="EU1381"/>
      <c r="EV1381"/>
      <c r="EW1381"/>
      <c r="EX1381"/>
      <c r="EY1381"/>
      <c r="EZ1381"/>
      <c r="FA1381"/>
      <c r="FB1381"/>
      <c r="FC1381"/>
      <c r="FD1381"/>
      <c r="FE1381"/>
      <c r="FF1381"/>
      <c r="FG1381"/>
      <c r="FH1381"/>
      <c r="FI1381"/>
      <c r="FJ1381"/>
    </row>
    <row r="1382" spans="1:166" s="4" customFormat="1" x14ac:dyDescent="0.2">
      <c r="A1382" s="44"/>
      <c r="B1382" s="44"/>
      <c r="C1382" s="44"/>
      <c r="D1382" s="44"/>
      <c r="E1382" s="44"/>
      <c r="F1382" s="58"/>
      <c r="G1382" s="32"/>
      <c r="H1382" s="58"/>
      <c r="I1382" s="58"/>
      <c r="J1382" s="59"/>
      <c r="K1382" s="58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  <c r="DI1382"/>
      <c r="DJ1382"/>
      <c r="DK1382"/>
      <c r="DL1382"/>
      <c r="DM1382"/>
      <c r="DN1382"/>
      <c r="DO1382"/>
      <c r="DP1382"/>
      <c r="DQ1382"/>
      <c r="DR1382"/>
      <c r="DS1382"/>
      <c r="DT1382"/>
      <c r="DU1382"/>
      <c r="DV1382"/>
      <c r="DW1382"/>
      <c r="DX1382"/>
      <c r="DY1382"/>
      <c r="DZ1382"/>
      <c r="EA1382"/>
      <c r="EB1382"/>
      <c r="EC1382"/>
      <c r="ED1382"/>
      <c r="EE1382"/>
      <c r="EF1382"/>
      <c r="EG1382"/>
      <c r="EH1382"/>
      <c r="EI1382"/>
      <c r="EJ1382"/>
      <c r="EK1382"/>
      <c r="EL1382"/>
      <c r="EM1382"/>
      <c r="EN1382"/>
      <c r="EO1382"/>
      <c r="EP1382"/>
      <c r="EQ1382"/>
      <c r="ER1382"/>
      <c r="ES1382"/>
      <c r="ET1382"/>
      <c r="EU1382"/>
      <c r="EV1382"/>
      <c r="EW1382"/>
      <c r="EX1382"/>
      <c r="EY1382"/>
      <c r="EZ1382"/>
      <c r="FA1382"/>
      <c r="FB1382"/>
      <c r="FC1382"/>
      <c r="FD1382"/>
      <c r="FE1382"/>
      <c r="FF1382"/>
      <c r="FG1382"/>
      <c r="FH1382"/>
      <c r="FI1382"/>
      <c r="FJ1382"/>
    </row>
    <row r="1383" spans="1:166" s="4" customFormat="1" x14ac:dyDescent="0.2">
      <c r="A1383" s="44"/>
      <c r="B1383" s="44"/>
      <c r="C1383" s="44"/>
      <c r="D1383" s="44"/>
      <c r="E1383" s="44"/>
      <c r="F1383" s="58"/>
      <c r="G1383" s="32"/>
      <c r="H1383" s="58"/>
      <c r="I1383" s="58"/>
      <c r="J1383" s="59"/>
      <c r="K1383" s="58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  <c r="DI1383"/>
      <c r="DJ1383"/>
      <c r="DK1383"/>
      <c r="DL1383"/>
      <c r="DM1383"/>
      <c r="DN1383"/>
      <c r="DO1383"/>
      <c r="DP1383"/>
      <c r="DQ1383"/>
      <c r="DR1383"/>
      <c r="DS1383"/>
      <c r="DT1383"/>
      <c r="DU1383"/>
      <c r="DV1383"/>
      <c r="DW1383"/>
      <c r="DX1383"/>
      <c r="DY1383"/>
      <c r="DZ1383"/>
      <c r="EA1383"/>
      <c r="EB1383"/>
      <c r="EC1383"/>
      <c r="ED1383"/>
      <c r="EE1383"/>
      <c r="EF1383"/>
      <c r="EG1383"/>
      <c r="EH1383"/>
      <c r="EI1383"/>
      <c r="EJ1383"/>
      <c r="EK1383"/>
      <c r="EL1383"/>
      <c r="EM1383"/>
      <c r="EN1383"/>
      <c r="EO1383"/>
      <c r="EP1383"/>
      <c r="EQ1383"/>
      <c r="ER1383"/>
      <c r="ES1383"/>
      <c r="ET1383"/>
      <c r="EU1383"/>
      <c r="EV1383"/>
      <c r="EW1383"/>
      <c r="EX1383"/>
      <c r="EY1383"/>
      <c r="EZ1383"/>
      <c r="FA1383"/>
      <c r="FB1383"/>
      <c r="FC1383"/>
      <c r="FD1383"/>
      <c r="FE1383"/>
      <c r="FF1383"/>
      <c r="FG1383"/>
      <c r="FH1383"/>
      <c r="FI1383"/>
      <c r="FJ1383"/>
    </row>
    <row r="1384" spans="1:166" s="4" customFormat="1" x14ac:dyDescent="0.2">
      <c r="A1384" s="44"/>
      <c r="B1384" s="44"/>
      <c r="C1384" s="44"/>
      <c r="D1384" s="44"/>
      <c r="E1384" s="44"/>
      <c r="F1384" s="58"/>
      <c r="G1384" s="32"/>
      <c r="H1384" s="58"/>
      <c r="I1384" s="58"/>
      <c r="J1384" s="59"/>
      <c r="K1384" s="58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  <c r="DJ1384"/>
      <c r="DK1384"/>
      <c r="DL1384"/>
      <c r="DM1384"/>
      <c r="DN1384"/>
      <c r="DO1384"/>
      <c r="DP1384"/>
      <c r="DQ1384"/>
      <c r="DR1384"/>
      <c r="DS1384"/>
      <c r="DT1384"/>
      <c r="DU1384"/>
      <c r="DV1384"/>
      <c r="DW1384"/>
      <c r="DX1384"/>
      <c r="DY1384"/>
      <c r="DZ1384"/>
      <c r="EA1384"/>
      <c r="EB1384"/>
      <c r="EC1384"/>
      <c r="ED1384"/>
      <c r="EE1384"/>
      <c r="EF1384"/>
      <c r="EG1384"/>
      <c r="EH1384"/>
      <c r="EI1384"/>
      <c r="EJ1384"/>
      <c r="EK1384"/>
      <c r="EL1384"/>
      <c r="EM1384"/>
      <c r="EN1384"/>
      <c r="EO1384"/>
      <c r="EP1384"/>
      <c r="EQ1384"/>
      <c r="ER1384"/>
      <c r="ES1384"/>
      <c r="ET1384"/>
      <c r="EU1384"/>
      <c r="EV1384"/>
      <c r="EW1384"/>
      <c r="EX1384"/>
      <c r="EY1384"/>
      <c r="EZ1384"/>
      <c r="FA1384"/>
      <c r="FB1384"/>
      <c r="FC1384"/>
      <c r="FD1384"/>
      <c r="FE1384"/>
      <c r="FF1384"/>
      <c r="FG1384"/>
      <c r="FH1384"/>
      <c r="FI1384"/>
      <c r="FJ1384"/>
    </row>
    <row r="1385" spans="1:166" s="4" customFormat="1" x14ac:dyDescent="0.2">
      <c r="A1385" s="44"/>
      <c r="B1385" s="44"/>
      <c r="C1385" s="44"/>
      <c r="D1385" s="44"/>
      <c r="E1385" s="44"/>
      <c r="F1385" s="58"/>
      <c r="G1385" s="32"/>
      <c r="H1385" s="58"/>
      <c r="I1385" s="58"/>
      <c r="J1385" s="59"/>
      <c r="K1385" s="58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  <c r="DJ1385"/>
      <c r="DK1385"/>
      <c r="DL1385"/>
      <c r="DM1385"/>
      <c r="DN1385"/>
      <c r="DO1385"/>
      <c r="DP1385"/>
      <c r="DQ1385"/>
      <c r="DR1385"/>
      <c r="DS1385"/>
      <c r="DT1385"/>
      <c r="DU1385"/>
      <c r="DV1385"/>
      <c r="DW1385"/>
      <c r="DX1385"/>
      <c r="DY1385"/>
      <c r="DZ1385"/>
      <c r="EA1385"/>
      <c r="EB1385"/>
      <c r="EC1385"/>
      <c r="ED1385"/>
      <c r="EE1385"/>
      <c r="EF1385"/>
      <c r="EG1385"/>
      <c r="EH1385"/>
      <c r="EI1385"/>
      <c r="EJ1385"/>
      <c r="EK1385"/>
      <c r="EL1385"/>
      <c r="EM1385"/>
      <c r="EN1385"/>
      <c r="EO1385"/>
      <c r="EP1385"/>
      <c r="EQ1385"/>
      <c r="ER1385"/>
      <c r="ES1385"/>
      <c r="ET1385"/>
      <c r="EU1385"/>
      <c r="EV1385"/>
      <c r="EW1385"/>
      <c r="EX1385"/>
      <c r="EY1385"/>
      <c r="EZ1385"/>
      <c r="FA1385"/>
      <c r="FB1385"/>
      <c r="FC1385"/>
      <c r="FD1385"/>
      <c r="FE1385"/>
      <c r="FF1385"/>
      <c r="FG1385"/>
      <c r="FH1385"/>
      <c r="FI1385"/>
      <c r="FJ1385"/>
    </row>
    <row r="1386" spans="1:166" s="4" customFormat="1" x14ac:dyDescent="0.2">
      <c r="A1386" s="44"/>
      <c r="B1386" s="44"/>
      <c r="C1386" s="44"/>
      <c r="D1386" s="44"/>
      <c r="E1386" s="44"/>
      <c r="F1386" s="58"/>
      <c r="G1386" s="32"/>
      <c r="H1386" s="58"/>
      <c r="I1386" s="58"/>
      <c r="J1386" s="59"/>
      <c r="K1386" s="58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  <c r="DJ1386"/>
      <c r="DK1386"/>
      <c r="DL1386"/>
      <c r="DM1386"/>
      <c r="DN1386"/>
      <c r="DO1386"/>
      <c r="DP1386"/>
      <c r="DQ1386"/>
      <c r="DR1386"/>
      <c r="DS1386"/>
      <c r="DT1386"/>
      <c r="DU1386"/>
      <c r="DV1386"/>
      <c r="DW1386"/>
      <c r="DX1386"/>
      <c r="DY1386"/>
      <c r="DZ1386"/>
      <c r="EA1386"/>
      <c r="EB1386"/>
      <c r="EC1386"/>
      <c r="ED1386"/>
      <c r="EE1386"/>
      <c r="EF1386"/>
      <c r="EG1386"/>
      <c r="EH1386"/>
      <c r="EI1386"/>
      <c r="EJ1386"/>
      <c r="EK1386"/>
      <c r="EL1386"/>
      <c r="EM1386"/>
      <c r="EN1386"/>
      <c r="EO1386"/>
      <c r="EP1386"/>
      <c r="EQ1386"/>
      <c r="ER1386"/>
      <c r="ES1386"/>
      <c r="ET1386"/>
      <c r="EU1386"/>
      <c r="EV1386"/>
      <c r="EW1386"/>
      <c r="EX1386"/>
      <c r="EY1386"/>
      <c r="EZ1386"/>
      <c r="FA1386"/>
      <c r="FB1386"/>
      <c r="FC1386"/>
      <c r="FD1386"/>
      <c r="FE1386"/>
      <c r="FF1386"/>
      <c r="FG1386"/>
      <c r="FH1386"/>
      <c r="FI1386"/>
      <c r="FJ1386"/>
    </row>
    <row r="1387" spans="1:166" s="4" customFormat="1" x14ac:dyDescent="0.2">
      <c r="A1387" s="44"/>
      <c r="B1387" s="44"/>
      <c r="C1387" s="44"/>
      <c r="D1387" s="44"/>
      <c r="E1387" s="44"/>
      <c r="F1387" s="58"/>
      <c r="G1387" s="32"/>
      <c r="H1387" s="58"/>
      <c r="I1387" s="58"/>
      <c r="J1387" s="59"/>
      <c r="K1387" s="58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  <c r="DJ1387"/>
      <c r="DK1387"/>
      <c r="DL1387"/>
      <c r="DM1387"/>
      <c r="DN1387"/>
      <c r="DO1387"/>
      <c r="DP1387"/>
      <c r="DQ1387"/>
      <c r="DR1387"/>
      <c r="DS1387"/>
      <c r="DT1387"/>
      <c r="DU1387"/>
      <c r="DV1387"/>
      <c r="DW1387"/>
      <c r="DX1387"/>
      <c r="DY1387"/>
      <c r="DZ1387"/>
      <c r="EA1387"/>
      <c r="EB1387"/>
      <c r="EC1387"/>
      <c r="ED1387"/>
      <c r="EE1387"/>
      <c r="EF1387"/>
      <c r="EG1387"/>
      <c r="EH1387"/>
      <c r="EI1387"/>
      <c r="EJ1387"/>
      <c r="EK1387"/>
      <c r="EL1387"/>
      <c r="EM1387"/>
      <c r="EN1387"/>
      <c r="EO1387"/>
      <c r="EP1387"/>
      <c r="EQ1387"/>
      <c r="ER1387"/>
      <c r="ES1387"/>
      <c r="ET1387"/>
      <c r="EU1387"/>
      <c r="EV1387"/>
      <c r="EW1387"/>
      <c r="EX1387"/>
      <c r="EY1387"/>
      <c r="EZ1387"/>
      <c r="FA1387"/>
      <c r="FB1387"/>
      <c r="FC1387"/>
      <c r="FD1387"/>
      <c r="FE1387"/>
      <c r="FF1387"/>
      <c r="FG1387"/>
      <c r="FH1387"/>
      <c r="FI1387"/>
      <c r="FJ1387"/>
    </row>
    <row r="1388" spans="1:166" s="4" customFormat="1" x14ac:dyDescent="0.2">
      <c r="A1388" s="44"/>
      <c r="B1388" s="44"/>
      <c r="C1388" s="44"/>
      <c r="D1388" s="44"/>
      <c r="E1388" s="44"/>
      <c r="F1388" s="58"/>
      <c r="G1388" s="32"/>
      <c r="H1388" s="58"/>
      <c r="I1388" s="58"/>
      <c r="J1388" s="59"/>
      <c r="K1388" s="5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  <c r="DJ1388"/>
      <c r="DK1388"/>
      <c r="DL1388"/>
      <c r="DM1388"/>
      <c r="DN1388"/>
      <c r="DO1388"/>
      <c r="DP1388"/>
      <c r="DQ1388"/>
      <c r="DR1388"/>
      <c r="DS1388"/>
      <c r="DT1388"/>
      <c r="DU1388"/>
      <c r="DV1388"/>
      <c r="DW1388"/>
      <c r="DX1388"/>
      <c r="DY1388"/>
      <c r="DZ1388"/>
      <c r="EA1388"/>
      <c r="EB1388"/>
      <c r="EC1388"/>
      <c r="ED1388"/>
      <c r="EE1388"/>
      <c r="EF1388"/>
      <c r="EG1388"/>
      <c r="EH1388"/>
      <c r="EI1388"/>
      <c r="EJ1388"/>
      <c r="EK1388"/>
      <c r="EL1388"/>
      <c r="EM1388"/>
      <c r="EN1388"/>
      <c r="EO1388"/>
      <c r="EP1388"/>
      <c r="EQ1388"/>
      <c r="ER1388"/>
      <c r="ES1388"/>
      <c r="ET1388"/>
      <c r="EU1388"/>
      <c r="EV1388"/>
      <c r="EW1388"/>
      <c r="EX1388"/>
      <c r="EY1388"/>
      <c r="EZ1388"/>
      <c r="FA1388"/>
      <c r="FB1388"/>
      <c r="FC1388"/>
      <c r="FD1388"/>
      <c r="FE1388"/>
      <c r="FF1388"/>
      <c r="FG1388"/>
      <c r="FH1388"/>
      <c r="FI1388"/>
      <c r="FJ1388"/>
    </row>
    <row r="1389" spans="1:166" s="4" customFormat="1" x14ac:dyDescent="0.2">
      <c r="A1389" s="44"/>
      <c r="B1389" s="44"/>
      <c r="C1389" s="44"/>
      <c r="D1389" s="44"/>
      <c r="E1389" s="44"/>
      <c r="F1389" s="58"/>
      <c r="G1389" s="32"/>
      <c r="H1389" s="58"/>
      <c r="I1389" s="58"/>
      <c r="J1389" s="59"/>
      <c r="K1389" s="58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  <c r="DJ1389"/>
      <c r="DK1389"/>
      <c r="DL1389"/>
      <c r="DM1389"/>
      <c r="DN1389"/>
      <c r="DO1389"/>
      <c r="DP1389"/>
      <c r="DQ1389"/>
      <c r="DR1389"/>
      <c r="DS1389"/>
      <c r="DT1389"/>
      <c r="DU1389"/>
      <c r="DV1389"/>
      <c r="DW1389"/>
      <c r="DX1389"/>
      <c r="DY1389"/>
      <c r="DZ1389"/>
      <c r="EA1389"/>
      <c r="EB1389"/>
      <c r="EC1389"/>
      <c r="ED1389"/>
      <c r="EE1389"/>
      <c r="EF1389"/>
      <c r="EG1389"/>
      <c r="EH1389"/>
      <c r="EI1389"/>
      <c r="EJ1389"/>
      <c r="EK1389"/>
      <c r="EL1389"/>
      <c r="EM1389"/>
      <c r="EN1389"/>
      <c r="EO1389"/>
      <c r="EP1389"/>
      <c r="EQ1389"/>
      <c r="ER1389"/>
      <c r="ES1389"/>
      <c r="ET1389"/>
      <c r="EU1389"/>
      <c r="EV1389"/>
      <c r="EW1389"/>
      <c r="EX1389"/>
      <c r="EY1389"/>
      <c r="EZ1389"/>
      <c r="FA1389"/>
      <c r="FB1389"/>
      <c r="FC1389"/>
      <c r="FD1389"/>
      <c r="FE1389"/>
      <c r="FF1389"/>
      <c r="FG1389"/>
      <c r="FH1389"/>
      <c r="FI1389"/>
      <c r="FJ1389"/>
    </row>
    <row r="1390" spans="1:166" s="4" customFormat="1" x14ac:dyDescent="0.2">
      <c r="A1390" s="44"/>
      <c r="B1390" s="44"/>
      <c r="C1390" s="44"/>
      <c r="D1390" s="44"/>
      <c r="E1390" s="44"/>
      <c r="F1390" s="58"/>
      <c r="G1390" s="32"/>
      <c r="H1390" s="58"/>
      <c r="I1390" s="58"/>
      <c r="J1390" s="59"/>
      <c r="K1390" s="58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  <c r="DJ1390"/>
      <c r="DK1390"/>
      <c r="DL1390"/>
      <c r="DM1390"/>
      <c r="DN1390"/>
      <c r="DO1390"/>
      <c r="DP1390"/>
      <c r="DQ1390"/>
      <c r="DR1390"/>
      <c r="DS1390"/>
      <c r="DT1390"/>
      <c r="DU1390"/>
      <c r="DV1390"/>
      <c r="DW1390"/>
      <c r="DX1390"/>
      <c r="DY1390"/>
      <c r="DZ1390"/>
      <c r="EA1390"/>
      <c r="EB1390"/>
      <c r="EC1390"/>
      <c r="ED1390"/>
      <c r="EE1390"/>
      <c r="EF1390"/>
      <c r="EG1390"/>
      <c r="EH1390"/>
      <c r="EI1390"/>
      <c r="EJ1390"/>
      <c r="EK1390"/>
      <c r="EL1390"/>
      <c r="EM1390"/>
      <c r="EN1390"/>
      <c r="EO1390"/>
      <c r="EP1390"/>
      <c r="EQ1390"/>
      <c r="ER1390"/>
      <c r="ES1390"/>
      <c r="ET1390"/>
      <c r="EU1390"/>
      <c r="EV1390"/>
      <c r="EW1390"/>
      <c r="EX1390"/>
      <c r="EY1390"/>
      <c r="EZ1390"/>
      <c r="FA1390"/>
      <c r="FB1390"/>
      <c r="FC1390"/>
      <c r="FD1390"/>
      <c r="FE1390"/>
      <c r="FF1390"/>
      <c r="FG1390"/>
      <c r="FH1390"/>
      <c r="FI1390"/>
      <c r="FJ1390"/>
    </row>
    <row r="1391" spans="1:166" s="4" customFormat="1" x14ac:dyDescent="0.2">
      <c r="A1391" s="44"/>
      <c r="B1391" s="44"/>
      <c r="C1391" s="44"/>
      <c r="D1391" s="44"/>
      <c r="E1391" s="44"/>
      <c r="F1391" s="58"/>
      <c r="G1391" s="32"/>
      <c r="H1391" s="58"/>
      <c r="I1391" s="58"/>
      <c r="J1391" s="59"/>
      <c r="K1391" s="58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  <c r="DJ1391"/>
      <c r="DK1391"/>
      <c r="DL1391"/>
      <c r="DM1391"/>
      <c r="DN1391"/>
      <c r="DO1391"/>
      <c r="DP1391"/>
      <c r="DQ1391"/>
      <c r="DR1391"/>
      <c r="DS1391"/>
      <c r="DT1391"/>
      <c r="DU1391"/>
      <c r="DV1391"/>
      <c r="DW1391"/>
      <c r="DX1391"/>
      <c r="DY1391"/>
      <c r="DZ1391"/>
      <c r="EA1391"/>
      <c r="EB1391"/>
      <c r="EC1391"/>
      <c r="ED1391"/>
      <c r="EE1391"/>
      <c r="EF1391"/>
      <c r="EG1391"/>
      <c r="EH1391"/>
      <c r="EI1391"/>
      <c r="EJ1391"/>
      <c r="EK1391"/>
      <c r="EL1391"/>
      <c r="EM1391"/>
      <c r="EN1391"/>
      <c r="EO1391"/>
      <c r="EP1391"/>
      <c r="EQ1391"/>
      <c r="ER1391"/>
      <c r="ES1391"/>
      <c r="ET1391"/>
      <c r="EU1391"/>
      <c r="EV1391"/>
      <c r="EW1391"/>
      <c r="EX1391"/>
      <c r="EY1391"/>
      <c r="EZ1391"/>
      <c r="FA1391"/>
      <c r="FB1391"/>
      <c r="FC1391"/>
      <c r="FD1391"/>
      <c r="FE1391"/>
      <c r="FF1391"/>
      <c r="FG1391"/>
      <c r="FH1391"/>
      <c r="FI1391"/>
      <c r="FJ1391"/>
    </row>
    <row r="1392" spans="1:166" s="4" customFormat="1" x14ac:dyDescent="0.2">
      <c r="A1392" s="44"/>
      <c r="B1392" s="44"/>
      <c r="C1392" s="44"/>
      <c r="D1392" s="44"/>
      <c r="E1392" s="44"/>
      <c r="F1392" s="58"/>
      <c r="G1392" s="32"/>
      <c r="H1392" s="58"/>
      <c r="I1392" s="58"/>
      <c r="J1392" s="59"/>
      <c r="K1392" s="58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  <c r="DJ1392"/>
      <c r="DK1392"/>
      <c r="DL1392"/>
      <c r="DM1392"/>
      <c r="DN1392"/>
      <c r="DO1392"/>
      <c r="DP1392"/>
      <c r="DQ1392"/>
      <c r="DR1392"/>
      <c r="DS1392"/>
      <c r="DT1392"/>
      <c r="DU1392"/>
      <c r="DV1392"/>
      <c r="DW1392"/>
      <c r="DX1392"/>
      <c r="DY1392"/>
      <c r="DZ1392"/>
      <c r="EA1392"/>
      <c r="EB1392"/>
      <c r="EC1392"/>
      <c r="ED1392"/>
      <c r="EE1392"/>
      <c r="EF1392"/>
      <c r="EG1392"/>
      <c r="EH1392"/>
      <c r="EI1392"/>
      <c r="EJ1392"/>
      <c r="EK1392"/>
      <c r="EL1392"/>
      <c r="EM1392"/>
      <c r="EN1392"/>
      <c r="EO1392"/>
      <c r="EP1392"/>
      <c r="EQ1392"/>
      <c r="ER1392"/>
      <c r="ES1392"/>
      <c r="ET1392"/>
      <c r="EU1392"/>
      <c r="EV1392"/>
      <c r="EW1392"/>
      <c r="EX1392"/>
      <c r="EY1392"/>
      <c r="EZ1392"/>
      <c r="FA1392"/>
      <c r="FB1392"/>
      <c r="FC1392"/>
      <c r="FD1392"/>
      <c r="FE1392"/>
      <c r="FF1392"/>
      <c r="FG1392"/>
      <c r="FH1392"/>
      <c r="FI1392"/>
      <c r="FJ1392"/>
    </row>
    <row r="1393" spans="1:166" s="4" customFormat="1" x14ac:dyDescent="0.2">
      <c r="A1393" s="44"/>
      <c r="B1393" s="44"/>
      <c r="C1393" s="44"/>
      <c r="D1393" s="44"/>
      <c r="E1393" s="44"/>
      <c r="F1393" s="58"/>
      <c r="G1393" s="32"/>
      <c r="H1393" s="58"/>
      <c r="I1393" s="58"/>
      <c r="J1393" s="59"/>
      <c r="K1393" s="58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  <c r="DJ1393"/>
      <c r="DK1393"/>
      <c r="DL1393"/>
      <c r="DM1393"/>
      <c r="DN1393"/>
      <c r="DO1393"/>
      <c r="DP1393"/>
      <c r="DQ1393"/>
      <c r="DR1393"/>
      <c r="DS1393"/>
      <c r="DT1393"/>
      <c r="DU1393"/>
      <c r="DV1393"/>
      <c r="DW1393"/>
      <c r="DX1393"/>
      <c r="DY1393"/>
      <c r="DZ1393"/>
      <c r="EA1393"/>
      <c r="EB1393"/>
      <c r="EC1393"/>
      <c r="ED1393"/>
      <c r="EE1393"/>
      <c r="EF1393"/>
      <c r="EG1393"/>
      <c r="EH1393"/>
      <c r="EI1393"/>
      <c r="EJ1393"/>
      <c r="EK1393"/>
      <c r="EL1393"/>
      <c r="EM1393"/>
      <c r="EN1393"/>
      <c r="EO1393"/>
      <c r="EP1393"/>
      <c r="EQ1393"/>
      <c r="ER1393"/>
      <c r="ES1393"/>
      <c r="ET1393"/>
      <c r="EU1393"/>
      <c r="EV1393"/>
      <c r="EW1393"/>
      <c r="EX1393"/>
      <c r="EY1393"/>
      <c r="EZ1393"/>
      <c r="FA1393"/>
      <c r="FB1393"/>
      <c r="FC1393"/>
      <c r="FD1393"/>
      <c r="FE1393"/>
      <c r="FF1393"/>
      <c r="FG1393"/>
      <c r="FH1393"/>
      <c r="FI1393"/>
      <c r="FJ1393"/>
    </row>
    <row r="1394" spans="1:166" s="4" customFormat="1" x14ac:dyDescent="0.2">
      <c r="A1394" s="44"/>
      <c r="B1394" s="44"/>
      <c r="C1394" s="44"/>
      <c r="D1394" s="44"/>
      <c r="E1394" s="44"/>
      <c r="F1394" s="58"/>
      <c r="G1394" s="32"/>
      <c r="H1394" s="58"/>
      <c r="I1394" s="58"/>
      <c r="J1394" s="59"/>
      <c r="K1394" s="58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  <c r="DJ1394"/>
      <c r="DK1394"/>
      <c r="DL1394"/>
      <c r="DM1394"/>
      <c r="DN1394"/>
      <c r="DO1394"/>
      <c r="DP1394"/>
      <c r="DQ1394"/>
      <c r="DR1394"/>
      <c r="DS1394"/>
      <c r="DT1394"/>
      <c r="DU1394"/>
      <c r="DV1394"/>
      <c r="DW1394"/>
      <c r="DX1394"/>
      <c r="DY1394"/>
      <c r="DZ1394"/>
      <c r="EA1394"/>
      <c r="EB1394"/>
      <c r="EC1394"/>
      <c r="ED1394"/>
      <c r="EE1394"/>
      <c r="EF1394"/>
      <c r="EG1394"/>
      <c r="EH1394"/>
      <c r="EI1394"/>
      <c r="EJ1394"/>
      <c r="EK1394"/>
      <c r="EL1394"/>
      <c r="EM1394"/>
      <c r="EN1394"/>
      <c r="EO1394"/>
      <c r="EP1394"/>
      <c r="EQ1394"/>
      <c r="ER1394"/>
      <c r="ES1394"/>
      <c r="ET1394"/>
      <c r="EU1394"/>
      <c r="EV1394"/>
      <c r="EW1394"/>
      <c r="EX1394"/>
      <c r="EY1394"/>
      <c r="EZ1394"/>
      <c r="FA1394"/>
      <c r="FB1394"/>
      <c r="FC1394"/>
      <c r="FD1394"/>
      <c r="FE1394"/>
      <c r="FF1394"/>
      <c r="FG1394"/>
      <c r="FH1394"/>
      <c r="FI1394"/>
      <c r="FJ1394"/>
    </row>
    <row r="1395" spans="1:166" s="4" customFormat="1" x14ac:dyDescent="0.2">
      <c r="A1395" s="44"/>
      <c r="B1395" s="44"/>
      <c r="C1395" s="44"/>
      <c r="D1395" s="44"/>
      <c r="E1395" s="44"/>
      <c r="F1395" s="58"/>
      <c r="G1395" s="32"/>
      <c r="H1395" s="58"/>
      <c r="I1395" s="58"/>
      <c r="J1395" s="59"/>
      <c r="K1395" s="58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  <c r="DI1395"/>
      <c r="DJ1395"/>
      <c r="DK1395"/>
      <c r="DL1395"/>
      <c r="DM1395"/>
      <c r="DN1395"/>
      <c r="DO1395"/>
      <c r="DP1395"/>
      <c r="DQ1395"/>
      <c r="DR1395"/>
      <c r="DS1395"/>
      <c r="DT1395"/>
      <c r="DU1395"/>
      <c r="DV1395"/>
      <c r="DW1395"/>
      <c r="DX1395"/>
      <c r="DY1395"/>
      <c r="DZ1395"/>
      <c r="EA1395"/>
      <c r="EB1395"/>
      <c r="EC1395"/>
      <c r="ED1395"/>
      <c r="EE1395"/>
      <c r="EF1395"/>
      <c r="EG1395"/>
      <c r="EH1395"/>
      <c r="EI1395"/>
      <c r="EJ1395"/>
      <c r="EK1395"/>
      <c r="EL1395"/>
      <c r="EM1395"/>
      <c r="EN1395"/>
      <c r="EO1395"/>
      <c r="EP1395"/>
      <c r="EQ1395"/>
      <c r="ER1395"/>
      <c r="ES1395"/>
      <c r="ET1395"/>
      <c r="EU1395"/>
      <c r="EV1395"/>
      <c r="EW1395"/>
      <c r="EX1395"/>
      <c r="EY1395"/>
      <c r="EZ1395"/>
      <c r="FA1395"/>
      <c r="FB1395"/>
      <c r="FC1395"/>
      <c r="FD1395"/>
      <c r="FE1395"/>
      <c r="FF1395"/>
      <c r="FG1395"/>
      <c r="FH1395"/>
      <c r="FI1395"/>
      <c r="FJ1395"/>
    </row>
    <row r="1396" spans="1:166" s="4" customFormat="1" x14ac:dyDescent="0.2">
      <c r="A1396" s="44"/>
      <c r="B1396" s="44"/>
      <c r="C1396" s="44"/>
      <c r="D1396" s="44"/>
      <c r="E1396" s="44"/>
      <c r="F1396" s="58"/>
      <c r="G1396" s="32"/>
      <c r="H1396" s="58"/>
      <c r="I1396" s="58"/>
      <c r="J1396" s="59"/>
      <c r="K1396" s="58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  <c r="DI1396"/>
      <c r="DJ1396"/>
      <c r="DK1396"/>
      <c r="DL1396"/>
      <c r="DM1396"/>
      <c r="DN1396"/>
      <c r="DO1396"/>
      <c r="DP1396"/>
      <c r="DQ1396"/>
      <c r="DR1396"/>
      <c r="DS1396"/>
      <c r="DT1396"/>
      <c r="DU1396"/>
      <c r="DV1396"/>
      <c r="DW1396"/>
      <c r="DX1396"/>
      <c r="DY1396"/>
      <c r="DZ1396"/>
      <c r="EA1396"/>
      <c r="EB1396"/>
      <c r="EC1396"/>
      <c r="ED1396"/>
      <c r="EE1396"/>
      <c r="EF1396"/>
      <c r="EG1396"/>
      <c r="EH1396"/>
      <c r="EI1396"/>
      <c r="EJ1396"/>
      <c r="EK1396"/>
      <c r="EL1396"/>
      <c r="EM1396"/>
      <c r="EN1396"/>
      <c r="EO1396"/>
      <c r="EP1396"/>
      <c r="EQ1396"/>
      <c r="ER1396"/>
      <c r="ES1396"/>
      <c r="ET1396"/>
      <c r="EU1396"/>
      <c r="EV1396"/>
      <c r="EW1396"/>
      <c r="EX1396"/>
      <c r="EY1396"/>
      <c r="EZ1396"/>
      <c r="FA1396"/>
      <c r="FB1396"/>
      <c r="FC1396"/>
      <c r="FD1396"/>
      <c r="FE1396"/>
      <c r="FF1396"/>
      <c r="FG1396"/>
      <c r="FH1396"/>
      <c r="FI1396"/>
      <c r="FJ1396"/>
    </row>
    <row r="1397" spans="1:166" s="4" customFormat="1" x14ac:dyDescent="0.2">
      <c r="A1397" s="44"/>
      <c r="B1397" s="44"/>
      <c r="C1397" s="44"/>
      <c r="D1397" s="44"/>
      <c r="E1397" s="44"/>
      <c r="F1397" s="58"/>
      <c r="G1397" s="32"/>
      <c r="H1397" s="58"/>
      <c r="I1397" s="58"/>
      <c r="J1397" s="59"/>
      <c r="K1397" s="58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  <c r="DI1397"/>
      <c r="DJ1397"/>
      <c r="DK1397"/>
      <c r="DL1397"/>
      <c r="DM1397"/>
      <c r="DN1397"/>
      <c r="DO1397"/>
      <c r="DP1397"/>
      <c r="DQ1397"/>
      <c r="DR1397"/>
      <c r="DS1397"/>
      <c r="DT1397"/>
      <c r="DU1397"/>
      <c r="DV1397"/>
      <c r="DW1397"/>
      <c r="DX1397"/>
      <c r="DY1397"/>
      <c r="DZ1397"/>
      <c r="EA1397"/>
      <c r="EB1397"/>
      <c r="EC1397"/>
      <c r="ED1397"/>
      <c r="EE1397"/>
      <c r="EF1397"/>
      <c r="EG1397"/>
      <c r="EH1397"/>
      <c r="EI1397"/>
      <c r="EJ1397"/>
      <c r="EK1397"/>
      <c r="EL1397"/>
      <c r="EM1397"/>
      <c r="EN1397"/>
      <c r="EO1397"/>
      <c r="EP1397"/>
      <c r="EQ1397"/>
      <c r="ER1397"/>
      <c r="ES1397"/>
      <c r="ET1397"/>
      <c r="EU1397"/>
      <c r="EV1397"/>
      <c r="EW1397"/>
      <c r="EX1397"/>
      <c r="EY1397"/>
      <c r="EZ1397"/>
      <c r="FA1397"/>
      <c r="FB1397"/>
      <c r="FC1397"/>
      <c r="FD1397"/>
      <c r="FE1397"/>
      <c r="FF1397"/>
      <c r="FG1397"/>
      <c r="FH1397"/>
      <c r="FI1397"/>
      <c r="FJ1397"/>
    </row>
    <row r="1398" spans="1:166" s="4" customFormat="1" x14ac:dyDescent="0.2">
      <c r="A1398" s="44"/>
      <c r="B1398" s="44"/>
      <c r="C1398" s="44"/>
      <c r="D1398" s="44"/>
      <c r="E1398" s="44"/>
      <c r="F1398" s="58"/>
      <c r="G1398" s="32"/>
      <c r="H1398" s="58"/>
      <c r="I1398" s="58"/>
      <c r="J1398" s="59"/>
      <c r="K1398" s="5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  <c r="DI1398"/>
      <c r="DJ1398"/>
      <c r="DK1398"/>
      <c r="DL1398"/>
      <c r="DM1398"/>
      <c r="DN1398"/>
      <c r="DO1398"/>
      <c r="DP1398"/>
      <c r="DQ1398"/>
      <c r="DR1398"/>
      <c r="DS1398"/>
      <c r="DT1398"/>
      <c r="DU1398"/>
      <c r="DV1398"/>
      <c r="DW1398"/>
      <c r="DX1398"/>
      <c r="DY1398"/>
      <c r="DZ1398"/>
      <c r="EA1398"/>
      <c r="EB1398"/>
      <c r="EC1398"/>
      <c r="ED1398"/>
      <c r="EE1398"/>
      <c r="EF1398"/>
      <c r="EG1398"/>
      <c r="EH1398"/>
      <c r="EI1398"/>
      <c r="EJ1398"/>
      <c r="EK1398"/>
      <c r="EL1398"/>
      <c r="EM1398"/>
      <c r="EN1398"/>
      <c r="EO1398"/>
      <c r="EP1398"/>
      <c r="EQ1398"/>
      <c r="ER1398"/>
      <c r="ES1398"/>
      <c r="ET1398"/>
      <c r="EU1398"/>
      <c r="EV1398"/>
      <c r="EW1398"/>
      <c r="EX1398"/>
      <c r="EY1398"/>
      <c r="EZ1398"/>
      <c r="FA1398"/>
      <c r="FB1398"/>
      <c r="FC1398"/>
      <c r="FD1398"/>
      <c r="FE1398"/>
      <c r="FF1398"/>
      <c r="FG1398"/>
      <c r="FH1398"/>
      <c r="FI1398"/>
      <c r="FJ1398"/>
    </row>
    <row r="1399" spans="1:166" s="4" customFormat="1" x14ac:dyDescent="0.2">
      <c r="A1399" s="44"/>
      <c r="B1399" s="44"/>
      <c r="C1399" s="44"/>
      <c r="D1399" s="44"/>
      <c r="E1399" s="44"/>
      <c r="F1399" s="58"/>
      <c r="G1399" s="32"/>
      <c r="H1399" s="58"/>
      <c r="I1399" s="58"/>
      <c r="J1399" s="59"/>
      <c r="K1399" s="58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  <c r="DJ1399"/>
      <c r="DK1399"/>
      <c r="DL1399"/>
      <c r="DM1399"/>
      <c r="DN1399"/>
      <c r="DO1399"/>
      <c r="DP1399"/>
      <c r="DQ1399"/>
      <c r="DR1399"/>
      <c r="DS1399"/>
      <c r="DT1399"/>
      <c r="DU1399"/>
      <c r="DV1399"/>
      <c r="DW1399"/>
      <c r="DX1399"/>
      <c r="DY1399"/>
      <c r="DZ1399"/>
      <c r="EA1399"/>
      <c r="EB1399"/>
      <c r="EC1399"/>
      <c r="ED1399"/>
      <c r="EE1399"/>
      <c r="EF1399"/>
      <c r="EG1399"/>
      <c r="EH1399"/>
      <c r="EI1399"/>
      <c r="EJ1399"/>
      <c r="EK1399"/>
      <c r="EL1399"/>
      <c r="EM1399"/>
      <c r="EN1399"/>
      <c r="EO1399"/>
      <c r="EP1399"/>
      <c r="EQ1399"/>
      <c r="ER1399"/>
      <c r="ES1399"/>
      <c r="ET1399"/>
      <c r="EU1399"/>
      <c r="EV1399"/>
      <c r="EW1399"/>
      <c r="EX1399"/>
      <c r="EY1399"/>
      <c r="EZ1399"/>
      <c r="FA1399"/>
      <c r="FB1399"/>
      <c r="FC1399"/>
      <c r="FD1399"/>
      <c r="FE1399"/>
      <c r="FF1399"/>
      <c r="FG1399"/>
      <c r="FH1399"/>
      <c r="FI1399"/>
      <c r="FJ1399"/>
    </row>
    <row r="1400" spans="1:166" s="4" customFormat="1" x14ac:dyDescent="0.2">
      <c r="A1400" s="44"/>
      <c r="B1400" s="44"/>
      <c r="C1400" s="44"/>
      <c r="D1400" s="44"/>
      <c r="E1400" s="44"/>
      <c r="F1400" s="58"/>
      <c r="G1400" s="32"/>
      <c r="H1400" s="58"/>
      <c r="I1400" s="58"/>
      <c r="J1400" s="59"/>
      <c r="K1400" s="58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  <c r="DJ1400"/>
      <c r="DK1400"/>
      <c r="DL1400"/>
      <c r="DM1400"/>
      <c r="DN1400"/>
      <c r="DO1400"/>
      <c r="DP1400"/>
      <c r="DQ1400"/>
      <c r="DR1400"/>
      <c r="DS1400"/>
      <c r="DT1400"/>
      <c r="DU1400"/>
      <c r="DV1400"/>
      <c r="DW1400"/>
      <c r="DX1400"/>
      <c r="DY1400"/>
      <c r="DZ1400"/>
      <c r="EA1400"/>
      <c r="EB1400"/>
      <c r="EC1400"/>
      <c r="ED1400"/>
      <c r="EE1400"/>
      <c r="EF1400"/>
      <c r="EG1400"/>
      <c r="EH1400"/>
      <c r="EI1400"/>
      <c r="EJ1400"/>
      <c r="EK1400"/>
      <c r="EL1400"/>
      <c r="EM1400"/>
      <c r="EN1400"/>
      <c r="EO1400"/>
      <c r="EP1400"/>
      <c r="EQ1400"/>
      <c r="ER1400"/>
      <c r="ES1400"/>
      <c r="ET1400"/>
      <c r="EU1400"/>
      <c r="EV1400"/>
      <c r="EW1400"/>
      <c r="EX1400"/>
      <c r="EY1400"/>
      <c r="EZ1400"/>
      <c r="FA1400"/>
      <c r="FB1400"/>
      <c r="FC1400"/>
      <c r="FD1400"/>
      <c r="FE1400"/>
      <c r="FF1400"/>
      <c r="FG1400"/>
      <c r="FH1400"/>
      <c r="FI1400"/>
      <c r="FJ1400"/>
    </row>
    <row r="1401" spans="1:166" s="4" customFormat="1" x14ac:dyDescent="0.2">
      <c r="A1401" s="44"/>
      <c r="B1401" s="44"/>
      <c r="C1401" s="44"/>
      <c r="D1401" s="44"/>
      <c r="E1401" s="44"/>
      <c r="F1401" s="58"/>
      <c r="G1401" s="32"/>
      <c r="H1401" s="58"/>
      <c r="I1401" s="58"/>
      <c r="J1401" s="59"/>
      <c r="K1401" s="58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  <c r="DJ1401"/>
      <c r="DK1401"/>
      <c r="DL1401"/>
      <c r="DM1401"/>
      <c r="DN1401"/>
      <c r="DO1401"/>
      <c r="DP1401"/>
      <c r="DQ1401"/>
      <c r="DR1401"/>
      <c r="DS1401"/>
      <c r="DT1401"/>
      <c r="DU1401"/>
      <c r="DV1401"/>
      <c r="DW1401"/>
      <c r="DX1401"/>
      <c r="DY1401"/>
      <c r="DZ1401"/>
      <c r="EA1401"/>
      <c r="EB1401"/>
      <c r="EC1401"/>
      <c r="ED1401"/>
      <c r="EE1401"/>
      <c r="EF1401"/>
      <c r="EG1401"/>
      <c r="EH1401"/>
      <c r="EI1401"/>
      <c r="EJ1401"/>
      <c r="EK1401"/>
      <c r="EL1401"/>
      <c r="EM1401"/>
      <c r="EN1401"/>
      <c r="EO1401"/>
      <c r="EP1401"/>
      <c r="EQ1401"/>
      <c r="ER1401"/>
      <c r="ES1401"/>
      <c r="ET1401"/>
      <c r="EU1401"/>
      <c r="EV1401"/>
      <c r="EW1401"/>
      <c r="EX1401"/>
      <c r="EY1401"/>
      <c r="EZ1401"/>
      <c r="FA1401"/>
      <c r="FB1401"/>
      <c r="FC1401"/>
      <c r="FD1401"/>
      <c r="FE1401"/>
      <c r="FF1401"/>
      <c r="FG1401"/>
      <c r="FH1401"/>
      <c r="FI1401"/>
      <c r="FJ1401"/>
    </row>
    <row r="1402" spans="1:166" s="4" customFormat="1" x14ac:dyDescent="0.2">
      <c r="A1402" s="44"/>
      <c r="B1402" s="44"/>
      <c r="C1402" s="44"/>
      <c r="D1402" s="44"/>
      <c r="E1402" s="44"/>
      <c r="F1402" s="58"/>
      <c r="G1402" s="32"/>
      <c r="H1402" s="58"/>
      <c r="I1402" s="58"/>
      <c r="J1402" s="59"/>
      <c r="K1402" s="58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  <c r="DJ1402"/>
      <c r="DK1402"/>
      <c r="DL1402"/>
      <c r="DM1402"/>
      <c r="DN1402"/>
      <c r="DO1402"/>
      <c r="DP1402"/>
      <c r="DQ1402"/>
      <c r="DR1402"/>
      <c r="DS1402"/>
      <c r="DT1402"/>
      <c r="DU1402"/>
      <c r="DV1402"/>
      <c r="DW1402"/>
      <c r="DX1402"/>
      <c r="DY1402"/>
      <c r="DZ1402"/>
      <c r="EA1402"/>
      <c r="EB1402"/>
      <c r="EC1402"/>
      <c r="ED1402"/>
      <c r="EE1402"/>
      <c r="EF1402"/>
      <c r="EG1402"/>
      <c r="EH1402"/>
      <c r="EI1402"/>
      <c r="EJ1402"/>
      <c r="EK1402"/>
      <c r="EL1402"/>
      <c r="EM1402"/>
      <c r="EN1402"/>
      <c r="EO1402"/>
      <c r="EP1402"/>
      <c r="EQ1402"/>
      <c r="ER1402"/>
      <c r="ES1402"/>
      <c r="ET1402"/>
      <c r="EU1402"/>
      <c r="EV1402"/>
      <c r="EW1402"/>
      <c r="EX1402"/>
      <c r="EY1402"/>
      <c r="EZ1402"/>
      <c r="FA1402"/>
      <c r="FB1402"/>
      <c r="FC1402"/>
      <c r="FD1402"/>
      <c r="FE1402"/>
      <c r="FF1402"/>
      <c r="FG1402"/>
      <c r="FH1402"/>
      <c r="FI1402"/>
      <c r="FJ1402"/>
    </row>
    <row r="1403" spans="1:166" s="4" customFormat="1" x14ac:dyDescent="0.2">
      <c r="A1403" s="44"/>
      <c r="B1403" s="44"/>
      <c r="C1403" s="44"/>
      <c r="D1403" s="44"/>
      <c r="E1403" s="44"/>
      <c r="F1403" s="58"/>
      <c r="G1403" s="32"/>
      <c r="H1403" s="58"/>
      <c r="I1403" s="58"/>
      <c r="J1403" s="59"/>
      <c r="K1403" s="58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  <c r="DJ1403"/>
      <c r="DK1403"/>
      <c r="DL1403"/>
      <c r="DM1403"/>
      <c r="DN1403"/>
      <c r="DO1403"/>
      <c r="DP1403"/>
      <c r="DQ1403"/>
      <c r="DR1403"/>
      <c r="DS1403"/>
      <c r="DT1403"/>
      <c r="DU1403"/>
      <c r="DV1403"/>
      <c r="DW1403"/>
      <c r="DX1403"/>
      <c r="DY1403"/>
      <c r="DZ1403"/>
      <c r="EA1403"/>
      <c r="EB1403"/>
      <c r="EC1403"/>
      <c r="ED1403"/>
      <c r="EE1403"/>
      <c r="EF1403"/>
      <c r="EG1403"/>
      <c r="EH1403"/>
      <c r="EI1403"/>
      <c r="EJ1403"/>
      <c r="EK1403"/>
      <c r="EL1403"/>
      <c r="EM1403"/>
      <c r="EN1403"/>
      <c r="EO1403"/>
      <c r="EP1403"/>
      <c r="EQ1403"/>
      <c r="ER1403"/>
      <c r="ES1403"/>
      <c r="ET1403"/>
      <c r="EU1403"/>
      <c r="EV1403"/>
      <c r="EW1403"/>
      <c r="EX1403"/>
      <c r="EY1403"/>
      <c r="EZ1403"/>
      <c r="FA1403"/>
      <c r="FB1403"/>
      <c r="FC1403"/>
      <c r="FD1403"/>
      <c r="FE1403"/>
      <c r="FF1403"/>
      <c r="FG1403"/>
      <c r="FH1403"/>
      <c r="FI1403"/>
      <c r="FJ1403"/>
    </row>
    <row r="1404" spans="1:166" s="4" customFormat="1" x14ac:dyDescent="0.2">
      <c r="A1404" s="44"/>
      <c r="B1404" s="44"/>
      <c r="C1404" s="44"/>
      <c r="D1404" s="44"/>
      <c r="E1404" s="44"/>
      <c r="F1404" s="58"/>
      <c r="G1404" s="32"/>
      <c r="H1404" s="58"/>
      <c r="I1404" s="58"/>
      <c r="J1404" s="59"/>
      <c r="K1404" s="58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  <c r="DJ1404"/>
      <c r="DK1404"/>
      <c r="DL1404"/>
      <c r="DM1404"/>
      <c r="DN1404"/>
      <c r="DO1404"/>
      <c r="DP1404"/>
      <c r="DQ1404"/>
      <c r="DR1404"/>
      <c r="DS1404"/>
      <c r="DT1404"/>
      <c r="DU1404"/>
      <c r="DV1404"/>
      <c r="DW1404"/>
      <c r="DX1404"/>
      <c r="DY1404"/>
      <c r="DZ1404"/>
      <c r="EA1404"/>
      <c r="EB1404"/>
      <c r="EC1404"/>
      <c r="ED1404"/>
      <c r="EE1404"/>
      <c r="EF1404"/>
      <c r="EG1404"/>
      <c r="EH1404"/>
      <c r="EI1404"/>
      <c r="EJ1404"/>
      <c r="EK1404"/>
      <c r="EL1404"/>
      <c r="EM1404"/>
      <c r="EN1404"/>
      <c r="EO1404"/>
      <c r="EP1404"/>
      <c r="EQ1404"/>
      <c r="ER1404"/>
      <c r="ES1404"/>
      <c r="ET1404"/>
      <c r="EU1404"/>
      <c r="EV1404"/>
      <c r="EW1404"/>
      <c r="EX1404"/>
      <c r="EY1404"/>
      <c r="EZ1404"/>
      <c r="FA1404"/>
      <c r="FB1404"/>
      <c r="FC1404"/>
      <c r="FD1404"/>
      <c r="FE1404"/>
      <c r="FF1404"/>
      <c r="FG1404"/>
      <c r="FH1404"/>
      <c r="FI1404"/>
      <c r="FJ1404"/>
    </row>
    <row r="1405" spans="1:166" s="4" customFormat="1" x14ac:dyDescent="0.2">
      <c r="A1405" s="44"/>
      <c r="B1405" s="44"/>
      <c r="C1405" s="44"/>
      <c r="D1405" s="44"/>
      <c r="E1405" s="44"/>
      <c r="F1405" s="58"/>
      <c r="G1405" s="32"/>
      <c r="H1405" s="58"/>
      <c r="I1405" s="58"/>
      <c r="J1405" s="59"/>
      <c r="K1405" s="58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  <c r="DJ1405"/>
      <c r="DK1405"/>
      <c r="DL1405"/>
      <c r="DM1405"/>
      <c r="DN1405"/>
      <c r="DO1405"/>
      <c r="DP1405"/>
      <c r="DQ1405"/>
      <c r="DR1405"/>
      <c r="DS1405"/>
      <c r="DT1405"/>
      <c r="DU1405"/>
      <c r="DV1405"/>
      <c r="DW1405"/>
      <c r="DX1405"/>
      <c r="DY1405"/>
      <c r="DZ1405"/>
      <c r="EA1405"/>
      <c r="EB1405"/>
      <c r="EC1405"/>
      <c r="ED1405"/>
      <c r="EE1405"/>
      <c r="EF1405"/>
      <c r="EG1405"/>
      <c r="EH1405"/>
      <c r="EI1405"/>
      <c r="EJ1405"/>
      <c r="EK1405"/>
      <c r="EL1405"/>
      <c r="EM1405"/>
      <c r="EN1405"/>
      <c r="EO1405"/>
      <c r="EP1405"/>
      <c r="EQ1405"/>
      <c r="ER1405"/>
      <c r="ES1405"/>
      <c r="ET1405"/>
      <c r="EU1405"/>
      <c r="EV1405"/>
      <c r="EW1405"/>
      <c r="EX1405"/>
      <c r="EY1405"/>
      <c r="EZ1405"/>
      <c r="FA1405"/>
      <c r="FB1405"/>
      <c r="FC1405"/>
      <c r="FD1405"/>
      <c r="FE1405"/>
      <c r="FF1405"/>
      <c r="FG1405"/>
      <c r="FH1405"/>
      <c r="FI1405"/>
      <c r="FJ1405"/>
    </row>
    <row r="1406" spans="1:166" s="4" customFormat="1" x14ac:dyDescent="0.2">
      <c r="A1406" s="44"/>
      <c r="B1406" s="44"/>
      <c r="C1406" s="44"/>
      <c r="D1406" s="44"/>
      <c r="E1406" s="44"/>
      <c r="F1406" s="58"/>
      <c r="G1406" s="32"/>
      <c r="H1406" s="58"/>
      <c r="I1406" s="58"/>
      <c r="J1406" s="59"/>
      <c r="K1406" s="58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  <c r="DJ1406"/>
      <c r="DK1406"/>
      <c r="DL1406"/>
      <c r="DM1406"/>
      <c r="DN1406"/>
      <c r="DO1406"/>
      <c r="DP1406"/>
      <c r="DQ1406"/>
      <c r="DR1406"/>
      <c r="DS1406"/>
      <c r="DT1406"/>
      <c r="DU1406"/>
      <c r="DV1406"/>
      <c r="DW1406"/>
      <c r="DX1406"/>
      <c r="DY1406"/>
      <c r="DZ1406"/>
      <c r="EA1406"/>
      <c r="EB1406"/>
      <c r="EC1406"/>
      <c r="ED1406"/>
      <c r="EE1406"/>
      <c r="EF1406"/>
      <c r="EG1406"/>
      <c r="EH1406"/>
      <c r="EI1406"/>
      <c r="EJ1406"/>
      <c r="EK1406"/>
      <c r="EL1406"/>
      <c r="EM1406"/>
      <c r="EN1406"/>
      <c r="EO1406"/>
      <c r="EP1406"/>
      <c r="EQ1406"/>
      <c r="ER1406"/>
      <c r="ES1406"/>
      <c r="ET1406"/>
      <c r="EU1406"/>
      <c r="EV1406"/>
      <c r="EW1406"/>
      <c r="EX1406"/>
      <c r="EY1406"/>
      <c r="EZ1406"/>
      <c r="FA1406"/>
      <c r="FB1406"/>
      <c r="FC1406"/>
      <c r="FD1406"/>
      <c r="FE1406"/>
      <c r="FF1406"/>
      <c r="FG1406"/>
      <c r="FH1406"/>
      <c r="FI1406"/>
      <c r="FJ1406"/>
    </row>
    <row r="1407" spans="1:166" s="4" customFormat="1" x14ac:dyDescent="0.2">
      <c r="A1407" s="44"/>
      <c r="B1407" s="44"/>
      <c r="C1407" s="44"/>
      <c r="D1407" s="44"/>
      <c r="E1407" s="44"/>
      <c r="F1407" s="58"/>
      <c r="G1407" s="32"/>
      <c r="H1407" s="58"/>
      <c r="I1407" s="58"/>
      <c r="J1407" s="59"/>
      <c r="K1407" s="58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  <c r="DJ1407"/>
      <c r="DK1407"/>
      <c r="DL1407"/>
      <c r="DM1407"/>
      <c r="DN1407"/>
      <c r="DO1407"/>
      <c r="DP1407"/>
      <c r="DQ1407"/>
      <c r="DR1407"/>
      <c r="DS1407"/>
      <c r="DT1407"/>
      <c r="DU1407"/>
      <c r="DV1407"/>
      <c r="DW1407"/>
      <c r="DX1407"/>
      <c r="DY1407"/>
      <c r="DZ1407"/>
      <c r="EA1407"/>
      <c r="EB1407"/>
      <c r="EC1407"/>
      <c r="ED1407"/>
      <c r="EE1407"/>
      <c r="EF1407"/>
      <c r="EG1407"/>
      <c r="EH1407"/>
      <c r="EI1407"/>
      <c r="EJ1407"/>
      <c r="EK1407"/>
      <c r="EL1407"/>
      <c r="EM1407"/>
      <c r="EN1407"/>
      <c r="EO1407"/>
      <c r="EP1407"/>
      <c r="EQ1407"/>
      <c r="ER1407"/>
      <c r="ES1407"/>
      <c r="ET1407"/>
      <c r="EU1407"/>
      <c r="EV1407"/>
      <c r="EW1407"/>
      <c r="EX1407"/>
      <c r="EY1407"/>
      <c r="EZ1407"/>
      <c r="FA1407"/>
      <c r="FB1407"/>
      <c r="FC1407"/>
      <c r="FD1407"/>
      <c r="FE1407"/>
      <c r="FF1407"/>
      <c r="FG1407"/>
      <c r="FH1407"/>
      <c r="FI1407"/>
      <c r="FJ1407"/>
    </row>
    <row r="1408" spans="1:166" s="4" customFormat="1" x14ac:dyDescent="0.2">
      <c r="A1408" s="44"/>
      <c r="B1408" s="44"/>
      <c r="C1408" s="44"/>
      <c r="D1408" s="44"/>
      <c r="E1408" s="44"/>
      <c r="F1408" s="58"/>
      <c r="G1408" s="32"/>
      <c r="H1408" s="58"/>
      <c r="I1408" s="58"/>
      <c r="J1408" s="59"/>
      <c r="K1408" s="5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  <c r="DJ1408"/>
      <c r="DK1408"/>
      <c r="DL1408"/>
      <c r="DM1408"/>
      <c r="DN1408"/>
      <c r="DO1408"/>
      <c r="DP1408"/>
      <c r="DQ1408"/>
      <c r="DR1408"/>
      <c r="DS1408"/>
      <c r="DT1408"/>
      <c r="DU1408"/>
      <c r="DV1408"/>
      <c r="DW1408"/>
      <c r="DX1408"/>
      <c r="DY1408"/>
      <c r="DZ1408"/>
      <c r="EA1408"/>
      <c r="EB1408"/>
      <c r="EC1408"/>
      <c r="ED1408"/>
      <c r="EE1408"/>
      <c r="EF1408"/>
      <c r="EG1408"/>
      <c r="EH1408"/>
      <c r="EI1408"/>
      <c r="EJ1408"/>
      <c r="EK1408"/>
      <c r="EL1408"/>
      <c r="EM1408"/>
      <c r="EN1408"/>
      <c r="EO1408"/>
      <c r="EP1408"/>
      <c r="EQ1408"/>
      <c r="ER1408"/>
      <c r="ES1408"/>
      <c r="ET1408"/>
      <c r="EU1408"/>
      <c r="EV1408"/>
      <c r="EW1408"/>
      <c r="EX1408"/>
      <c r="EY1408"/>
      <c r="EZ1408"/>
      <c r="FA1408"/>
      <c r="FB1408"/>
      <c r="FC1408"/>
      <c r="FD1408"/>
      <c r="FE1408"/>
      <c r="FF1408"/>
      <c r="FG1408"/>
      <c r="FH1408"/>
      <c r="FI1408"/>
      <c r="FJ1408"/>
    </row>
    <row r="1409" spans="1:166" s="4" customFormat="1" x14ac:dyDescent="0.2">
      <c r="A1409" s="44"/>
      <c r="B1409" s="44"/>
      <c r="C1409" s="44"/>
      <c r="D1409" s="44"/>
      <c r="E1409" s="44"/>
      <c r="F1409" s="58"/>
      <c r="G1409" s="32"/>
      <c r="H1409" s="58"/>
      <c r="I1409" s="58"/>
      <c r="J1409" s="59"/>
      <c r="K1409" s="58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  <c r="DJ1409"/>
      <c r="DK1409"/>
      <c r="DL1409"/>
      <c r="DM1409"/>
      <c r="DN1409"/>
      <c r="DO1409"/>
      <c r="DP1409"/>
      <c r="DQ1409"/>
      <c r="DR1409"/>
      <c r="DS1409"/>
      <c r="DT1409"/>
      <c r="DU1409"/>
      <c r="DV1409"/>
      <c r="DW1409"/>
      <c r="DX1409"/>
      <c r="DY1409"/>
      <c r="DZ1409"/>
      <c r="EA1409"/>
      <c r="EB1409"/>
      <c r="EC1409"/>
      <c r="ED1409"/>
      <c r="EE1409"/>
      <c r="EF1409"/>
      <c r="EG1409"/>
      <c r="EH1409"/>
      <c r="EI1409"/>
      <c r="EJ1409"/>
      <c r="EK1409"/>
      <c r="EL1409"/>
      <c r="EM1409"/>
      <c r="EN1409"/>
      <c r="EO1409"/>
      <c r="EP1409"/>
      <c r="EQ1409"/>
      <c r="ER1409"/>
      <c r="ES1409"/>
      <c r="ET1409"/>
      <c r="EU1409"/>
      <c r="EV1409"/>
      <c r="EW1409"/>
      <c r="EX1409"/>
      <c r="EY1409"/>
      <c r="EZ1409"/>
      <c r="FA1409"/>
      <c r="FB1409"/>
      <c r="FC1409"/>
      <c r="FD1409"/>
      <c r="FE1409"/>
      <c r="FF1409"/>
      <c r="FG1409"/>
      <c r="FH1409"/>
      <c r="FI1409"/>
      <c r="FJ1409"/>
    </row>
    <row r="1410" spans="1:166" s="4" customFormat="1" x14ac:dyDescent="0.2">
      <c r="A1410" s="44"/>
      <c r="B1410" s="44"/>
      <c r="C1410" s="44"/>
      <c r="D1410" s="44"/>
      <c r="E1410" s="44"/>
      <c r="F1410" s="58"/>
      <c r="G1410" s="32"/>
      <c r="H1410" s="58"/>
      <c r="I1410" s="58"/>
      <c r="J1410" s="59"/>
      <c r="K1410" s="58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  <c r="DJ1410"/>
      <c r="DK1410"/>
      <c r="DL1410"/>
      <c r="DM1410"/>
      <c r="DN1410"/>
      <c r="DO1410"/>
      <c r="DP1410"/>
      <c r="DQ1410"/>
      <c r="DR1410"/>
      <c r="DS1410"/>
      <c r="DT1410"/>
      <c r="DU1410"/>
      <c r="DV1410"/>
      <c r="DW1410"/>
      <c r="DX1410"/>
      <c r="DY1410"/>
      <c r="DZ1410"/>
      <c r="EA1410"/>
      <c r="EB1410"/>
      <c r="EC1410"/>
      <c r="ED1410"/>
      <c r="EE1410"/>
      <c r="EF1410"/>
      <c r="EG1410"/>
      <c r="EH1410"/>
      <c r="EI1410"/>
      <c r="EJ1410"/>
      <c r="EK1410"/>
      <c r="EL1410"/>
      <c r="EM1410"/>
      <c r="EN1410"/>
      <c r="EO1410"/>
      <c r="EP1410"/>
      <c r="EQ1410"/>
      <c r="ER1410"/>
      <c r="ES1410"/>
      <c r="ET1410"/>
      <c r="EU1410"/>
      <c r="EV1410"/>
      <c r="EW1410"/>
      <c r="EX1410"/>
      <c r="EY1410"/>
      <c r="EZ1410"/>
      <c r="FA1410"/>
      <c r="FB1410"/>
      <c r="FC1410"/>
      <c r="FD1410"/>
      <c r="FE1410"/>
      <c r="FF1410"/>
      <c r="FG1410"/>
      <c r="FH1410"/>
      <c r="FI1410"/>
      <c r="FJ1410"/>
    </row>
    <row r="1411" spans="1:166" s="4" customFormat="1" x14ac:dyDescent="0.2">
      <c r="A1411" s="44"/>
      <c r="B1411" s="44"/>
      <c r="C1411" s="44"/>
      <c r="D1411" s="44"/>
      <c r="E1411" s="44"/>
      <c r="F1411" s="58"/>
      <c r="G1411" s="32"/>
      <c r="H1411" s="58"/>
      <c r="I1411" s="58"/>
      <c r="J1411" s="59"/>
      <c r="K1411" s="58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  <c r="DJ1411"/>
      <c r="DK1411"/>
      <c r="DL1411"/>
      <c r="DM1411"/>
      <c r="DN1411"/>
      <c r="DO1411"/>
      <c r="DP1411"/>
      <c r="DQ1411"/>
      <c r="DR1411"/>
      <c r="DS1411"/>
      <c r="DT1411"/>
      <c r="DU1411"/>
      <c r="DV1411"/>
      <c r="DW1411"/>
      <c r="DX1411"/>
      <c r="DY1411"/>
      <c r="DZ1411"/>
      <c r="EA1411"/>
      <c r="EB1411"/>
      <c r="EC1411"/>
      <c r="ED1411"/>
      <c r="EE1411"/>
      <c r="EF1411"/>
      <c r="EG1411"/>
      <c r="EH1411"/>
      <c r="EI1411"/>
      <c r="EJ1411"/>
      <c r="EK1411"/>
      <c r="EL1411"/>
      <c r="EM1411"/>
      <c r="EN1411"/>
      <c r="EO1411"/>
      <c r="EP1411"/>
      <c r="EQ1411"/>
      <c r="ER1411"/>
      <c r="ES1411"/>
      <c r="ET1411"/>
      <c r="EU1411"/>
      <c r="EV1411"/>
      <c r="EW1411"/>
      <c r="EX1411"/>
      <c r="EY1411"/>
      <c r="EZ1411"/>
      <c r="FA1411"/>
      <c r="FB1411"/>
      <c r="FC1411"/>
      <c r="FD1411"/>
      <c r="FE1411"/>
      <c r="FF1411"/>
      <c r="FG1411"/>
      <c r="FH1411"/>
      <c r="FI1411"/>
      <c r="FJ1411"/>
    </row>
    <row r="1412" spans="1:166" s="4" customFormat="1" x14ac:dyDescent="0.2">
      <c r="A1412" s="44"/>
      <c r="B1412" s="44"/>
      <c r="C1412" s="44"/>
      <c r="D1412" s="44"/>
      <c r="E1412" s="44"/>
      <c r="F1412" s="58"/>
      <c r="G1412" s="32"/>
      <c r="H1412" s="58"/>
      <c r="I1412" s="58"/>
      <c r="J1412" s="59"/>
      <c r="K1412" s="58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  <c r="DJ1412"/>
      <c r="DK1412"/>
      <c r="DL1412"/>
      <c r="DM1412"/>
      <c r="DN1412"/>
      <c r="DO1412"/>
      <c r="DP1412"/>
      <c r="DQ1412"/>
      <c r="DR1412"/>
      <c r="DS1412"/>
      <c r="DT1412"/>
      <c r="DU1412"/>
      <c r="DV1412"/>
      <c r="DW1412"/>
      <c r="DX1412"/>
      <c r="DY1412"/>
      <c r="DZ1412"/>
      <c r="EA1412"/>
      <c r="EB1412"/>
      <c r="EC1412"/>
      <c r="ED1412"/>
      <c r="EE1412"/>
      <c r="EF1412"/>
      <c r="EG1412"/>
      <c r="EH1412"/>
      <c r="EI1412"/>
      <c r="EJ1412"/>
      <c r="EK1412"/>
      <c r="EL1412"/>
      <c r="EM1412"/>
      <c r="EN1412"/>
      <c r="EO1412"/>
      <c r="EP1412"/>
      <c r="EQ1412"/>
      <c r="ER1412"/>
      <c r="ES1412"/>
      <c r="ET1412"/>
      <c r="EU1412"/>
      <c r="EV1412"/>
      <c r="EW1412"/>
      <c r="EX1412"/>
      <c r="EY1412"/>
      <c r="EZ1412"/>
      <c r="FA1412"/>
      <c r="FB1412"/>
      <c r="FC1412"/>
      <c r="FD1412"/>
      <c r="FE1412"/>
      <c r="FF1412"/>
      <c r="FG1412"/>
      <c r="FH1412"/>
      <c r="FI1412"/>
      <c r="FJ1412"/>
    </row>
    <row r="1413" spans="1:166" s="4" customFormat="1" x14ac:dyDescent="0.2">
      <c r="A1413" s="44"/>
      <c r="B1413" s="44"/>
      <c r="C1413" s="44"/>
      <c r="D1413" s="44"/>
      <c r="E1413" s="44"/>
      <c r="F1413" s="58"/>
      <c r="G1413" s="32"/>
      <c r="H1413" s="58"/>
      <c r="I1413" s="58"/>
      <c r="J1413" s="59"/>
      <c r="K1413" s="58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  <c r="DJ1413"/>
      <c r="DK1413"/>
      <c r="DL1413"/>
      <c r="DM1413"/>
      <c r="DN1413"/>
      <c r="DO1413"/>
      <c r="DP1413"/>
      <c r="DQ1413"/>
      <c r="DR1413"/>
      <c r="DS1413"/>
      <c r="DT1413"/>
      <c r="DU1413"/>
      <c r="DV1413"/>
      <c r="DW1413"/>
      <c r="DX1413"/>
      <c r="DY1413"/>
      <c r="DZ1413"/>
      <c r="EA1413"/>
      <c r="EB1413"/>
      <c r="EC1413"/>
      <c r="ED1413"/>
      <c r="EE1413"/>
      <c r="EF1413"/>
      <c r="EG1413"/>
      <c r="EH1413"/>
      <c r="EI1413"/>
      <c r="EJ1413"/>
      <c r="EK1413"/>
      <c r="EL1413"/>
      <c r="EM1413"/>
      <c r="EN1413"/>
      <c r="EO1413"/>
      <c r="EP1413"/>
      <c r="EQ1413"/>
      <c r="ER1413"/>
      <c r="ES1413"/>
      <c r="ET1413"/>
      <c r="EU1413"/>
      <c r="EV1413"/>
      <c r="EW1413"/>
      <c r="EX1413"/>
      <c r="EY1413"/>
      <c r="EZ1413"/>
      <c r="FA1413"/>
      <c r="FB1413"/>
      <c r="FC1413"/>
      <c r="FD1413"/>
      <c r="FE1413"/>
      <c r="FF1413"/>
      <c r="FG1413"/>
      <c r="FH1413"/>
      <c r="FI1413"/>
      <c r="FJ1413"/>
    </row>
    <row r="1414" spans="1:166" s="4" customFormat="1" x14ac:dyDescent="0.2">
      <c r="A1414" s="44"/>
      <c r="B1414" s="44"/>
      <c r="C1414" s="44"/>
      <c r="D1414" s="44"/>
      <c r="E1414" s="44"/>
      <c r="F1414" s="58"/>
      <c r="G1414" s="32"/>
      <c r="H1414" s="58"/>
      <c r="I1414" s="58"/>
      <c r="J1414" s="59"/>
      <c r="K1414" s="58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  <c r="DJ1414"/>
      <c r="DK1414"/>
      <c r="DL1414"/>
      <c r="DM1414"/>
      <c r="DN1414"/>
      <c r="DO1414"/>
      <c r="DP1414"/>
      <c r="DQ1414"/>
      <c r="DR1414"/>
      <c r="DS1414"/>
      <c r="DT1414"/>
      <c r="DU1414"/>
      <c r="DV1414"/>
      <c r="DW1414"/>
      <c r="DX1414"/>
      <c r="DY1414"/>
      <c r="DZ1414"/>
      <c r="EA1414"/>
      <c r="EB1414"/>
      <c r="EC1414"/>
      <c r="ED1414"/>
      <c r="EE1414"/>
      <c r="EF1414"/>
      <c r="EG1414"/>
      <c r="EH1414"/>
      <c r="EI1414"/>
      <c r="EJ1414"/>
      <c r="EK1414"/>
      <c r="EL1414"/>
      <c r="EM1414"/>
      <c r="EN1414"/>
      <c r="EO1414"/>
      <c r="EP1414"/>
      <c r="EQ1414"/>
      <c r="ER1414"/>
      <c r="ES1414"/>
      <c r="ET1414"/>
      <c r="EU1414"/>
      <c r="EV1414"/>
      <c r="EW1414"/>
      <c r="EX1414"/>
      <c r="EY1414"/>
      <c r="EZ1414"/>
      <c r="FA1414"/>
      <c r="FB1414"/>
      <c r="FC1414"/>
      <c r="FD1414"/>
      <c r="FE1414"/>
      <c r="FF1414"/>
      <c r="FG1414"/>
      <c r="FH1414"/>
      <c r="FI1414"/>
      <c r="FJ1414"/>
    </row>
    <row r="1415" spans="1:166" s="4" customFormat="1" x14ac:dyDescent="0.2">
      <c r="A1415" s="44"/>
      <c r="B1415" s="44"/>
      <c r="C1415" s="44"/>
      <c r="D1415" s="44"/>
      <c r="E1415" s="44"/>
      <c r="F1415" s="58"/>
      <c r="G1415" s="32"/>
      <c r="H1415" s="58"/>
      <c r="I1415" s="58"/>
      <c r="J1415" s="59"/>
      <c r="K1415" s="58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  <c r="DJ1415"/>
      <c r="DK1415"/>
      <c r="DL1415"/>
      <c r="DM1415"/>
      <c r="DN1415"/>
      <c r="DO1415"/>
      <c r="DP1415"/>
      <c r="DQ1415"/>
      <c r="DR1415"/>
      <c r="DS1415"/>
      <c r="DT1415"/>
      <c r="DU1415"/>
      <c r="DV1415"/>
      <c r="DW1415"/>
      <c r="DX1415"/>
      <c r="DY1415"/>
      <c r="DZ1415"/>
      <c r="EA1415"/>
      <c r="EB1415"/>
      <c r="EC1415"/>
      <c r="ED1415"/>
      <c r="EE1415"/>
      <c r="EF1415"/>
      <c r="EG1415"/>
      <c r="EH1415"/>
      <c r="EI1415"/>
      <c r="EJ1415"/>
      <c r="EK1415"/>
      <c r="EL1415"/>
      <c r="EM1415"/>
      <c r="EN1415"/>
      <c r="EO1415"/>
      <c r="EP1415"/>
      <c r="EQ1415"/>
      <c r="ER1415"/>
      <c r="ES1415"/>
      <c r="ET1415"/>
      <c r="EU1415"/>
      <c r="EV1415"/>
      <c r="EW1415"/>
      <c r="EX1415"/>
      <c r="EY1415"/>
      <c r="EZ1415"/>
      <c r="FA1415"/>
      <c r="FB1415"/>
      <c r="FC1415"/>
      <c r="FD1415"/>
      <c r="FE1415"/>
      <c r="FF1415"/>
      <c r="FG1415"/>
      <c r="FH1415"/>
      <c r="FI1415"/>
      <c r="FJ1415"/>
    </row>
    <row r="1416" spans="1:166" s="4" customFormat="1" x14ac:dyDescent="0.2">
      <c r="A1416" s="44"/>
      <c r="B1416" s="44"/>
      <c r="C1416" s="44"/>
      <c r="D1416" s="44"/>
      <c r="E1416" s="44"/>
      <c r="F1416" s="58"/>
      <c r="G1416" s="32"/>
      <c r="H1416" s="58"/>
      <c r="I1416" s="58"/>
      <c r="J1416" s="59"/>
      <c r="K1416" s="58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  <c r="DJ1416"/>
      <c r="DK1416"/>
      <c r="DL1416"/>
      <c r="DM1416"/>
      <c r="DN1416"/>
      <c r="DO1416"/>
      <c r="DP1416"/>
      <c r="DQ1416"/>
      <c r="DR1416"/>
      <c r="DS1416"/>
      <c r="DT1416"/>
      <c r="DU1416"/>
      <c r="DV1416"/>
      <c r="DW1416"/>
      <c r="DX1416"/>
      <c r="DY1416"/>
      <c r="DZ1416"/>
      <c r="EA1416"/>
      <c r="EB1416"/>
      <c r="EC1416"/>
      <c r="ED1416"/>
      <c r="EE1416"/>
      <c r="EF1416"/>
      <c r="EG1416"/>
      <c r="EH1416"/>
      <c r="EI1416"/>
      <c r="EJ1416"/>
      <c r="EK1416"/>
      <c r="EL1416"/>
      <c r="EM1416"/>
      <c r="EN1416"/>
      <c r="EO1416"/>
      <c r="EP1416"/>
      <c r="EQ1416"/>
      <c r="ER1416"/>
      <c r="ES1416"/>
      <c r="ET1416"/>
      <c r="EU1416"/>
      <c r="EV1416"/>
      <c r="EW1416"/>
      <c r="EX1416"/>
      <c r="EY1416"/>
      <c r="EZ1416"/>
      <c r="FA1416"/>
      <c r="FB1416"/>
      <c r="FC1416"/>
      <c r="FD1416"/>
      <c r="FE1416"/>
      <c r="FF1416"/>
      <c r="FG1416"/>
      <c r="FH1416"/>
      <c r="FI1416"/>
      <c r="FJ1416"/>
    </row>
    <row r="1417" spans="1:166" s="4" customFormat="1" x14ac:dyDescent="0.2">
      <c r="A1417" s="44"/>
      <c r="B1417" s="44"/>
      <c r="C1417" s="44"/>
      <c r="D1417" s="44"/>
      <c r="E1417" s="44"/>
      <c r="F1417" s="58"/>
      <c r="G1417" s="32"/>
      <c r="H1417" s="58"/>
      <c r="I1417" s="58"/>
      <c r="J1417" s="59"/>
      <c r="K1417" s="58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  <c r="DJ1417"/>
      <c r="DK1417"/>
      <c r="DL1417"/>
      <c r="DM1417"/>
      <c r="DN1417"/>
      <c r="DO1417"/>
      <c r="DP1417"/>
      <c r="DQ1417"/>
      <c r="DR1417"/>
      <c r="DS1417"/>
      <c r="DT1417"/>
      <c r="DU1417"/>
      <c r="DV1417"/>
      <c r="DW1417"/>
      <c r="DX1417"/>
      <c r="DY1417"/>
      <c r="DZ1417"/>
      <c r="EA1417"/>
      <c r="EB1417"/>
      <c r="EC1417"/>
      <c r="ED1417"/>
      <c r="EE1417"/>
      <c r="EF1417"/>
      <c r="EG1417"/>
      <c r="EH1417"/>
      <c r="EI1417"/>
      <c r="EJ1417"/>
      <c r="EK1417"/>
      <c r="EL1417"/>
      <c r="EM1417"/>
      <c r="EN1417"/>
      <c r="EO1417"/>
      <c r="EP1417"/>
      <c r="EQ1417"/>
      <c r="ER1417"/>
      <c r="ES1417"/>
      <c r="ET1417"/>
      <c r="EU1417"/>
      <c r="EV1417"/>
      <c r="EW1417"/>
      <c r="EX1417"/>
      <c r="EY1417"/>
      <c r="EZ1417"/>
      <c r="FA1417"/>
      <c r="FB1417"/>
      <c r="FC1417"/>
      <c r="FD1417"/>
      <c r="FE1417"/>
      <c r="FF1417"/>
      <c r="FG1417"/>
      <c r="FH1417"/>
      <c r="FI1417"/>
      <c r="FJ1417"/>
    </row>
    <row r="1418" spans="1:166" s="4" customFormat="1" x14ac:dyDescent="0.2">
      <c r="A1418" s="44"/>
      <c r="B1418" s="44"/>
      <c r="C1418" s="44"/>
      <c r="D1418" s="44"/>
      <c r="E1418" s="44"/>
      <c r="F1418" s="58"/>
      <c r="G1418" s="32"/>
      <c r="H1418" s="58"/>
      <c r="I1418" s="58"/>
      <c r="J1418" s="59"/>
      <c r="K1418" s="5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  <c r="DJ1418"/>
      <c r="DK1418"/>
      <c r="DL1418"/>
      <c r="DM1418"/>
      <c r="DN1418"/>
      <c r="DO1418"/>
      <c r="DP1418"/>
      <c r="DQ1418"/>
      <c r="DR1418"/>
      <c r="DS1418"/>
      <c r="DT1418"/>
      <c r="DU1418"/>
      <c r="DV1418"/>
      <c r="DW1418"/>
      <c r="DX1418"/>
      <c r="DY1418"/>
      <c r="DZ1418"/>
      <c r="EA1418"/>
      <c r="EB1418"/>
      <c r="EC1418"/>
      <c r="ED1418"/>
      <c r="EE1418"/>
      <c r="EF1418"/>
      <c r="EG1418"/>
      <c r="EH1418"/>
      <c r="EI1418"/>
      <c r="EJ1418"/>
      <c r="EK1418"/>
      <c r="EL1418"/>
      <c r="EM1418"/>
      <c r="EN1418"/>
      <c r="EO1418"/>
      <c r="EP1418"/>
      <c r="EQ1418"/>
      <c r="ER1418"/>
      <c r="ES1418"/>
      <c r="ET1418"/>
      <c r="EU1418"/>
      <c r="EV1418"/>
      <c r="EW1418"/>
      <c r="EX1418"/>
      <c r="EY1418"/>
      <c r="EZ1418"/>
      <c r="FA1418"/>
      <c r="FB1418"/>
      <c r="FC1418"/>
      <c r="FD1418"/>
      <c r="FE1418"/>
      <c r="FF1418"/>
      <c r="FG1418"/>
      <c r="FH1418"/>
      <c r="FI1418"/>
      <c r="FJ1418"/>
    </row>
    <row r="1419" spans="1:166" s="4" customFormat="1" x14ac:dyDescent="0.2">
      <c r="A1419" s="44"/>
      <c r="B1419" s="44"/>
      <c r="C1419" s="44"/>
      <c r="D1419" s="44"/>
      <c r="E1419" s="44"/>
      <c r="F1419" s="58"/>
      <c r="G1419" s="32"/>
      <c r="H1419" s="58"/>
      <c r="I1419" s="58"/>
      <c r="J1419" s="59"/>
      <c r="K1419" s="58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  <c r="DJ1419"/>
      <c r="DK1419"/>
      <c r="DL1419"/>
      <c r="DM1419"/>
      <c r="DN1419"/>
      <c r="DO1419"/>
      <c r="DP1419"/>
      <c r="DQ1419"/>
      <c r="DR1419"/>
      <c r="DS1419"/>
      <c r="DT1419"/>
      <c r="DU1419"/>
      <c r="DV1419"/>
      <c r="DW1419"/>
      <c r="DX1419"/>
      <c r="DY1419"/>
      <c r="DZ1419"/>
      <c r="EA1419"/>
      <c r="EB1419"/>
      <c r="EC1419"/>
      <c r="ED1419"/>
      <c r="EE1419"/>
      <c r="EF1419"/>
      <c r="EG1419"/>
      <c r="EH1419"/>
      <c r="EI1419"/>
      <c r="EJ1419"/>
      <c r="EK1419"/>
      <c r="EL1419"/>
      <c r="EM1419"/>
      <c r="EN1419"/>
      <c r="EO1419"/>
      <c r="EP1419"/>
      <c r="EQ1419"/>
      <c r="ER1419"/>
      <c r="ES1419"/>
      <c r="ET1419"/>
      <c r="EU1419"/>
      <c r="EV1419"/>
      <c r="EW1419"/>
      <c r="EX1419"/>
      <c r="EY1419"/>
      <c r="EZ1419"/>
      <c r="FA1419"/>
      <c r="FB1419"/>
      <c r="FC1419"/>
      <c r="FD1419"/>
      <c r="FE1419"/>
      <c r="FF1419"/>
      <c r="FG1419"/>
      <c r="FH1419"/>
      <c r="FI1419"/>
      <c r="FJ1419"/>
    </row>
  </sheetData>
  <sheetProtection selectLockedCells="1" selectUnlockedCells="1"/>
  <mergeCells count="3">
    <mergeCell ref="A4:K4"/>
    <mergeCell ref="A5:K5"/>
    <mergeCell ref="A7:A8"/>
  </mergeCells>
  <dataValidations count="3">
    <dataValidation allowBlank="1" showInputMessage="1" showErrorMessage="1" prompt="Введите дополнительную характеристику на русском языке" sqref="E361:E364 B361:B364"/>
    <dataValidation allowBlank="1" showInputMessage="1" showErrorMessage="1" prompt="Введите наименование на рус.языке" sqref="E9 B9">
      <formula1>0</formula1>
      <formula2>0</formula2>
    </dataValidation>
    <dataValidation allowBlank="1" showInputMessage="1" showErrorMessage="1" prompt="Единица измерения заполняется автоматически в соответствии с КТРУ" sqref="F361:F364 F718 F721:F722"/>
  </dataValidations>
  <pageMargins left="0" right="0" top="0.74803149606299213" bottom="0.74803149606299213" header="0.31496062992125984" footer="0.31496062992125984"/>
  <pageSetup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Лист3</vt:lpstr>
      <vt:lpstr>медикаменты год план  2015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Балжан Шакерова</cp:lastModifiedBy>
  <cp:lastPrinted>2015-05-18T01:53:27Z</cp:lastPrinted>
  <dcterms:created xsi:type="dcterms:W3CDTF">2012-06-21T12:45:26Z</dcterms:created>
  <dcterms:modified xsi:type="dcterms:W3CDTF">2019-06-18T04:43:30Z</dcterms:modified>
</cp:coreProperties>
</file>